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5195" windowHeight="5610" activeTab="1"/>
  </bookViews>
  <sheets>
    <sheet name="смета с апреля по август" sheetId="3" r:id="rId1"/>
    <sheet name="пример на 2018" sheetId="4" r:id="rId2"/>
  </sheets>
  <calcPr calcId="144525"/>
</workbook>
</file>

<file path=xl/calcChain.xml><?xml version="1.0" encoding="utf-8"?>
<calcChain xmlns="http://schemas.openxmlformats.org/spreadsheetml/2006/main">
  <c r="C61" i="4"/>
  <c r="C57" l="1"/>
  <c r="C56" l="1"/>
  <c r="B66"/>
  <c r="C65"/>
  <c r="D65"/>
  <c r="C64"/>
  <c r="D64"/>
  <c r="C58"/>
  <c r="D58"/>
  <c r="C63"/>
  <c r="D63"/>
  <c r="C62"/>
  <c r="D62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31"/>
  <c r="C60"/>
  <c r="D45"/>
  <c r="D44"/>
  <c r="D24" l="1"/>
  <c r="D23"/>
  <c r="D16"/>
  <c r="D18"/>
  <c r="D17"/>
  <c r="D20"/>
  <c r="D21"/>
  <c r="D15"/>
  <c r="D57"/>
  <c r="D31"/>
  <c r="D36"/>
  <c r="D37"/>
  <c r="D35"/>
  <c r="D39"/>
  <c r="B51"/>
  <c r="C51" s="1"/>
  <c r="B75"/>
  <c r="D75" s="1"/>
  <c r="D48"/>
  <c r="C59" l="1"/>
  <c r="C66"/>
  <c r="B25"/>
  <c r="C24"/>
  <c r="C23"/>
  <c r="C22"/>
  <c r="C16"/>
  <c r="C17"/>
  <c r="C18"/>
  <c r="C19"/>
  <c r="C20"/>
  <c r="C21"/>
  <c r="C15"/>
  <c r="B7"/>
  <c r="C25" l="1"/>
  <c r="C7"/>
  <c r="D19"/>
  <c r="D25"/>
  <c r="B26"/>
  <c r="B27"/>
  <c r="C26"/>
  <c r="C27" s="1"/>
  <c r="D60"/>
  <c r="D61"/>
  <c r="D59"/>
  <c r="D56"/>
  <c r="D33"/>
  <c r="D41"/>
  <c r="D32"/>
  <c r="D46"/>
  <c r="D49"/>
  <c r="C9"/>
  <c r="C8"/>
  <c r="B10"/>
  <c r="D22" s="1"/>
  <c r="C75" l="1"/>
  <c r="B28"/>
  <c r="C28" s="1"/>
  <c r="C53" s="1"/>
  <c r="D26"/>
  <c r="C10"/>
  <c r="D66"/>
  <c r="D27" l="1"/>
  <c r="B53"/>
  <c r="D28"/>
  <c r="B12" i="3"/>
  <c r="B11"/>
  <c r="B9"/>
  <c r="B8"/>
  <c r="B7"/>
  <c r="B10"/>
  <c r="B56"/>
  <c r="D56" s="1"/>
  <c r="B44"/>
  <c r="D44" s="1"/>
  <c r="D48"/>
  <c r="B50"/>
  <c r="D50" s="1"/>
  <c r="B51"/>
  <c r="D51" s="1"/>
  <c r="B52"/>
  <c r="D52" s="1"/>
  <c r="B53"/>
  <c r="D53" s="1"/>
  <c r="B49"/>
  <c r="B36"/>
  <c r="D36" s="1"/>
  <c r="B37"/>
  <c r="D37" s="1"/>
  <c r="B38"/>
  <c r="D38" s="1"/>
  <c r="B39"/>
  <c r="D39" s="1"/>
  <c r="B40"/>
  <c r="D40" s="1"/>
  <c r="B41"/>
  <c r="D41" s="1"/>
  <c r="B42"/>
  <c r="B43"/>
  <c r="D43" s="1"/>
  <c r="B35"/>
  <c r="D35" s="1"/>
  <c r="B34"/>
  <c r="B33"/>
  <c r="D33" s="1"/>
  <c r="B29"/>
  <c r="D29" s="1"/>
  <c r="B25"/>
  <c r="B24"/>
  <c r="B45" s="1"/>
  <c r="D21"/>
  <c r="D22"/>
  <c r="D23"/>
  <c r="D24"/>
  <c r="D25"/>
  <c r="D26"/>
  <c r="D27"/>
  <c r="D28"/>
  <c r="D30"/>
  <c r="D31"/>
  <c r="D32"/>
  <c r="D34"/>
  <c r="D42"/>
  <c r="D20"/>
  <c r="D45" s="1"/>
  <c r="C14"/>
  <c r="B54" l="1"/>
  <c r="D54" s="1"/>
  <c r="D49"/>
  <c r="C12"/>
  <c r="C7"/>
  <c r="C11"/>
  <c r="C9"/>
  <c r="C8"/>
  <c r="C48"/>
  <c r="C54" s="1"/>
  <c r="C22"/>
  <c r="C28"/>
  <c r="C31"/>
  <c r="C32"/>
  <c r="C30"/>
  <c r="C23"/>
  <c r="C21"/>
  <c r="C27"/>
  <c r="C26"/>
  <c r="C20"/>
  <c r="C45" s="1"/>
  <c r="C13"/>
  <c r="B65" l="1"/>
  <c r="B15"/>
  <c r="C10"/>
  <c r="C15" s="1"/>
  <c r="D58"/>
  <c r="D65" s="1"/>
  <c r="C58"/>
  <c r="C65" s="1"/>
  <c r="D38" i="4"/>
  <c r="D50"/>
  <c r="D47"/>
  <c r="D34"/>
  <c r="D42"/>
  <c r="D43"/>
  <c r="D40"/>
  <c r="D51" l="1"/>
  <c r="D53" s="1"/>
  <c r="D73" s="1"/>
  <c r="C73"/>
  <c r="B73"/>
</calcChain>
</file>

<file path=xl/sharedStrings.xml><?xml version="1.0" encoding="utf-8"?>
<sst xmlns="http://schemas.openxmlformats.org/spreadsheetml/2006/main" count="160" uniqueCount="118">
  <si>
    <t>Наименование статей</t>
  </si>
  <si>
    <t xml:space="preserve"> руб./1 мес.</t>
  </si>
  <si>
    <t>1. Доходы товарищества</t>
  </si>
  <si>
    <t>2. Расходы товарищества</t>
  </si>
  <si>
    <t>Общая площадь дома</t>
  </si>
  <si>
    <t>Банковское обслуживание</t>
  </si>
  <si>
    <t>Юридическое обслуживание</t>
  </si>
  <si>
    <t>Вывоз и уборка снега</t>
  </si>
  <si>
    <t>1 раз в год</t>
  </si>
  <si>
    <t>Примечание</t>
  </si>
  <si>
    <t>Открытие р/с</t>
  </si>
  <si>
    <t>Ежегодное освидетельствование лифтового хозяйства</t>
  </si>
  <si>
    <t>Страхование лифтов</t>
  </si>
  <si>
    <t>Опрессовка системы отопления, промывка</t>
  </si>
  <si>
    <t>Текущий ремонт</t>
  </si>
  <si>
    <t>Слесарь+электрик+аварийка+бухгалтер+паспортист</t>
  </si>
  <si>
    <t>Обучение председателя правления</t>
  </si>
  <si>
    <t>Техническое обслуживание лифтов</t>
  </si>
  <si>
    <t>Поверка общедомовых приборов учета</t>
  </si>
  <si>
    <t>Установка входных групп из ПВХ</t>
  </si>
  <si>
    <t>Светодиодные светильники в квартирные коридоры</t>
  </si>
  <si>
    <t>Замена замков на дверях в подвал и насосную</t>
  </si>
  <si>
    <t>Итого доходы товарищества</t>
  </si>
  <si>
    <t>Закупка пломбировочного материала</t>
  </si>
  <si>
    <t>Канц. товары, услуги почты, принтерная печать</t>
  </si>
  <si>
    <t>ХВС для СОИ</t>
  </si>
  <si>
    <t>Мелкий текущий ремонт</t>
  </si>
  <si>
    <t>Благоустройство придомовой территории</t>
  </si>
  <si>
    <t>руб./11 мес</t>
  </si>
  <si>
    <r>
      <t>Охрана общего имущества (с 01.02.17 - 31.03.17) 7 руб/м</t>
    </r>
    <r>
      <rPr>
        <vertAlign val="superscript"/>
        <sz val="11"/>
        <rFont val="Arial"/>
        <family val="2"/>
        <charset val="204"/>
      </rPr>
      <t>2</t>
    </r>
  </si>
  <si>
    <r>
      <t>Видео наблюдение (с 01.02.17 - 31.03.17) 1,5 руб/м</t>
    </r>
    <r>
      <rPr>
        <vertAlign val="superscript"/>
        <sz val="11"/>
        <rFont val="Arial"/>
        <family val="2"/>
        <charset val="204"/>
      </rPr>
      <t>2</t>
    </r>
  </si>
  <si>
    <t>Охрана общего имущества (с 01.04.17) 5 руб/м2</t>
  </si>
  <si>
    <t>Однократно</t>
  </si>
  <si>
    <t>Согласно графику</t>
  </si>
  <si>
    <t>Вознаграждение председателя правления (в том числе НДФЛ)</t>
  </si>
  <si>
    <t>Изготовление печати ТСЖ и паспортиста</t>
  </si>
  <si>
    <t>Установление дверей-решеток перед дверями "выход на кровлю"</t>
  </si>
  <si>
    <t>Приобретение инвентаря и моющих средств для уборщицы и дворника</t>
  </si>
  <si>
    <r>
      <t>Содержание жилья (с 01.02.17 - 31.03.17) 25,64 руб/м</t>
    </r>
    <r>
      <rPr>
        <vertAlign val="superscript"/>
        <sz val="11"/>
        <rFont val="Arial"/>
        <family val="2"/>
        <charset val="204"/>
      </rPr>
      <t>2</t>
    </r>
  </si>
  <si>
    <t>Видео наблюдение (с 01.04.17) 0,5 руб/м2</t>
  </si>
  <si>
    <t>Непредвиденные расходы (материал, госпошлины, аварийные ситуации, "ОДН")</t>
  </si>
  <si>
    <t>Приобретение лестницы 3-х секционной</t>
  </si>
  <si>
    <t>ГИС ЖКХ (получение сертификата, цифровой подписи для ТСЖ)</t>
  </si>
  <si>
    <t>Уборка МОП (дворник, уборщица)</t>
  </si>
  <si>
    <t>Дератизация и дезинсекция</t>
  </si>
  <si>
    <t>Тех обслуживание АПС,СОУЭ,ВПВ,ДУ,ОВ (пожарка)прочистка вент каналов</t>
  </si>
  <si>
    <t>Услуги охраны общего имущества (ЧОП)</t>
  </si>
  <si>
    <t>Эл/энергия для СОИ</t>
  </si>
  <si>
    <t>Содержание общего имущества и управление</t>
  </si>
  <si>
    <t>Компенсация собственников автомата питьевой воды расходов на уборку МОП</t>
  </si>
  <si>
    <t>Вывоз твердых бытовых отходов и КГМ</t>
  </si>
  <si>
    <t>Расходы на пожарную безопасность (огнетушители, информационные таблички)</t>
  </si>
  <si>
    <t>Аренда общего имущества собственником автомата питьевой воды</t>
  </si>
  <si>
    <t>Итого по статье "Содержание общего имущества и управление"</t>
  </si>
  <si>
    <t>в случае принятия решения на ОСС</t>
  </si>
  <si>
    <t>руб./1 кв.м./мес.</t>
  </si>
  <si>
    <t>Итого по статье "Текущий ремонт"</t>
  </si>
  <si>
    <t>Ресурсы для содержания общего имущества</t>
  </si>
  <si>
    <t>Итого по статье "Ресурсы для содержания общего имущества"</t>
  </si>
  <si>
    <t>по факту потребления</t>
  </si>
  <si>
    <t>"муниципальный тариф"</t>
  </si>
  <si>
    <t>на основании протокола №__ от ___</t>
  </si>
  <si>
    <t>в случае утверждения сметы</t>
  </si>
  <si>
    <t>Восстановление дверей "выход на кровлю" 1 и 2 подъезд</t>
  </si>
  <si>
    <t>Обслуживание системы в/наблюдения, установка доп. камер в подъезде № 1,2</t>
  </si>
  <si>
    <t>ИТОГО по всем статьям:</t>
  </si>
  <si>
    <r>
      <rPr>
        <sz val="11"/>
        <rFont val="Arial"/>
        <family val="2"/>
        <charset val="204"/>
      </rPr>
      <t>Содержание жилья (содержание ОИ, текущий ремонт ОИ, управление) (с 01.04.17)</t>
    </r>
    <r>
      <rPr>
        <sz val="11"/>
        <color rgb="FFFF0000"/>
        <rFont val="Arial"/>
        <family val="2"/>
        <charset val="204"/>
      </rPr>
      <t xml:space="preserve"> 24,22 руб/м</t>
    </r>
    <r>
      <rPr>
        <vertAlign val="superscript"/>
        <sz val="11"/>
        <color rgb="FFFF0000"/>
        <rFont val="Arial"/>
        <family val="2"/>
        <charset val="204"/>
      </rPr>
      <t>2</t>
    </r>
  </si>
  <si>
    <t>Смета доходов и расходов ТСЖ "____________________" на 2017 г.</t>
  </si>
  <si>
    <r>
      <rPr>
        <sz val="11"/>
        <rFont val="Arial"/>
        <family val="2"/>
        <charset val="204"/>
      </rPr>
      <t xml:space="preserve">Содержание жилья (содержание ОИ, текущий ремонт ОИ, управление) </t>
    </r>
    <r>
      <rPr>
        <sz val="11"/>
        <color rgb="FFFF0000"/>
        <rFont val="Arial"/>
        <family val="2"/>
        <charset val="204"/>
      </rPr>
      <t>22,00 руб/м</t>
    </r>
    <r>
      <rPr>
        <vertAlign val="superscript"/>
        <sz val="11"/>
        <color rgb="FFFF0000"/>
        <rFont val="Arial"/>
        <family val="2"/>
        <charset val="204"/>
      </rPr>
      <t>2</t>
    </r>
  </si>
  <si>
    <t>руб./12 мес</t>
  </si>
  <si>
    <t xml:space="preserve">Доходы от размещения оборудования операторов связи </t>
  </si>
  <si>
    <t>Содержание общего имущества</t>
  </si>
  <si>
    <t>Председатель правления</t>
  </si>
  <si>
    <t>Управляющий</t>
  </si>
  <si>
    <t>Паспортист</t>
  </si>
  <si>
    <t>Уорщик дворовых территорий (2 ставки)</t>
  </si>
  <si>
    <t>Уборщик мусоропровода</t>
  </si>
  <si>
    <t>Уборщик лестничных клеток (2 ставки)</t>
  </si>
  <si>
    <t>Сантехник</t>
  </si>
  <si>
    <t>Электрик</t>
  </si>
  <si>
    <t>Юрист</t>
  </si>
  <si>
    <t>Инженер лифтового оборудования</t>
  </si>
  <si>
    <t>Резерв на оплату отпусков</t>
  </si>
  <si>
    <t>по нормативу</t>
  </si>
  <si>
    <t>Латочный ремонт кровли</t>
  </si>
  <si>
    <t>Ограждение мусоропроводных отсеков</t>
  </si>
  <si>
    <t>Ремонт пешеходных дрожек</t>
  </si>
  <si>
    <t>Бухгалтерское обслуживание</t>
  </si>
  <si>
    <t>Обслуживание сайта, размещ нф на реформе ЖКХ</t>
  </si>
  <si>
    <t>согласно погодным условиям</t>
  </si>
  <si>
    <t>Прочие доходы</t>
  </si>
  <si>
    <t>согласно графику</t>
  </si>
  <si>
    <t>по договору</t>
  </si>
  <si>
    <t>По договору</t>
  </si>
  <si>
    <t>ГИС ЖКХ (размещение информации, ЭЦП)</t>
  </si>
  <si>
    <t>Расходы на обучение</t>
  </si>
  <si>
    <t>Резервный фонд</t>
  </si>
  <si>
    <t>Обслуживание общедомовых приборов учета</t>
  </si>
  <si>
    <t>Непокрытый расход по воде</t>
  </si>
  <si>
    <t>Расходы на информационное взаимодействие АНП ОРС</t>
  </si>
  <si>
    <t>ЭЦП для сдачи эл. отчетности , антивирус</t>
  </si>
  <si>
    <t>Обслуживание компьютерной техники</t>
  </si>
  <si>
    <t>Соц налог 20,2%</t>
  </si>
  <si>
    <t>Ремонт межпанельных швов</t>
  </si>
  <si>
    <t>Затраты на оплату труда</t>
  </si>
  <si>
    <t>Итого по статье  затраты на оплату труда</t>
  </si>
  <si>
    <t>Итого по статье "Содержание общего имущества и оплату труда"</t>
  </si>
  <si>
    <t>Итого по статье содержание общего имущеества</t>
  </si>
  <si>
    <t>Офисные расходы (коммун пл, домофон, телефон)</t>
  </si>
  <si>
    <t>Канц. товары, бумага,услуги почты,обслуживание принтера, модернизвция компьютера)</t>
  </si>
  <si>
    <t>Ремонт в электрощитовых (замена проводки)</t>
  </si>
  <si>
    <t>Установка металлических дверей в мусорокамеры</t>
  </si>
  <si>
    <t>Перилла подъезд № 7,9</t>
  </si>
  <si>
    <t xml:space="preserve">Ремонт мусорных камер </t>
  </si>
  <si>
    <t>Непредвиденные расходы (материал, госпошлины, аварийные ситуации, работа с должниками, "ОДН")</t>
  </si>
  <si>
    <t>Ремонт подъездов ( один подъезд)</t>
  </si>
  <si>
    <t>Водоотведение для СОИ</t>
  </si>
  <si>
    <t>Смета доходов и расходов ТСЖ " Арина" с 01.08.2017 г. по 31.12.2018г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</si>
</sst>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1"/>
      <name val="Arial"/>
      <family val="2"/>
      <charset val="204"/>
    </font>
    <font>
      <i/>
      <sz val="11"/>
      <name val="Arial"/>
      <family val="2"/>
      <charset val="204"/>
    </font>
    <font>
      <i/>
      <sz val="11"/>
      <color theme="1"/>
      <name val="Arial"/>
      <family val="2"/>
      <charset val="204"/>
    </font>
    <font>
      <vertAlign val="superscript"/>
      <sz val="11"/>
      <name val="Arial"/>
      <family val="2"/>
      <charset val="204"/>
    </font>
    <font>
      <i/>
      <sz val="11"/>
      <color rgb="FFFF0000"/>
      <name val="Arial"/>
      <family val="2"/>
      <charset val="204"/>
    </font>
    <font>
      <sz val="11"/>
      <color rgb="FFFF0000"/>
      <name val="Arial"/>
      <family val="2"/>
      <charset val="204"/>
    </font>
    <font>
      <vertAlign val="superscript"/>
      <sz val="11"/>
      <color rgb="FFFF0000"/>
      <name val="Arial"/>
      <family val="2"/>
      <charset val="204"/>
    </font>
    <font>
      <b/>
      <sz val="11"/>
      <color theme="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0">
    <xf numFmtId="0" fontId="0" fillId="0" borderId="0" xfId="0"/>
    <xf numFmtId="0" fontId="2" fillId="0" borderId="0" xfId="0" applyNumberFormat="1" applyFont="1" applyAlignment="1">
      <alignment wrapText="1"/>
    </xf>
    <xf numFmtId="2" fontId="2" fillId="0" borderId="0" xfId="0" applyNumberFormat="1" applyFont="1" applyAlignment="1">
      <alignment wrapText="1"/>
    </xf>
    <xf numFmtId="0" fontId="3" fillId="0" borderId="1" xfId="0" applyNumberFormat="1" applyFont="1" applyFill="1" applyBorder="1" applyAlignment="1">
      <alignment horizontal="left" vertical="center" wrapText="1"/>
    </xf>
    <xf numFmtId="2" fontId="3" fillId="0" borderId="1" xfId="1" applyNumberFormat="1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left" vertical="center" wrapText="1"/>
    </xf>
    <xf numFmtId="2" fontId="3" fillId="3" borderId="1" xfId="1" applyNumberFormat="1" applyFont="1" applyFill="1" applyBorder="1" applyAlignment="1">
      <alignment horizontal="center" vertical="center" wrapText="1"/>
    </xf>
    <xf numFmtId="0" fontId="4" fillId="4" borderId="1" xfId="0" applyNumberFormat="1" applyFont="1" applyFill="1" applyBorder="1" applyAlignment="1">
      <alignment horizontal="left" vertical="center" wrapText="1"/>
    </xf>
    <xf numFmtId="2" fontId="3" fillId="4" borderId="1" xfId="1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2" fontId="5" fillId="0" borderId="1" xfId="1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left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NumberFormat="1" applyFont="1" applyBorder="1" applyAlignment="1">
      <alignment horizontal="left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2" fillId="0" borderId="0" xfId="0" applyNumberFormat="1" applyFont="1" applyAlignment="1"/>
    <xf numFmtId="0" fontId="7" fillId="0" borderId="0" xfId="0" applyNumberFormat="1" applyFont="1" applyAlignment="1">
      <alignment wrapText="1"/>
    </xf>
    <xf numFmtId="2" fontId="5" fillId="4" borderId="1" xfId="1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left" vertical="top" wrapText="1"/>
    </xf>
    <xf numFmtId="0" fontId="2" fillId="0" borderId="0" xfId="0" applyNumberFormat="1" applyFont="1" applyFill="1" applyAlignment="1"/>
    <xf numFmtId="0" fontId="2" fillId="0" borderId="0" xfId="0" applyNumberFormat="1" applyFont="1" applyFill="1" applyAlignment="1">
      <alignment wrapText="1"/>
    </xf>
    <xf numFmtId="2" fontId="5" fillId="0" borderId="0" xfId="1" applyNumberFormat="1" applyFont="1" applyFill="1" applyBorder="1" applyAlignment="1">
      <alignment horizontal="center" vertical="center" wrapText="1"/>
    </xf>
    <xf numFmtId="0" fontId="2" fillId="0" borderId="0" xfId="0" applyNumberFormat="1" applyFont="1" applyBorder="1" applyAlignment="1"/>
    <xf numFmtId="0" fontId="2" fillId="0" borderId="0" xfId="0" applyNumberFormat="1" applyFont="1" applyBorder="1" applyAlignment="1">
      <alignment wrapText="1"/>
    </xf>
    <xf numFmtId="2" fontId="2" fillId="0" borderId="1" xfId="0" applyNumberFormat="1" applyFont="1" applyBorder="1" applyAlignment="1">
      <alignment horizontal="center" wrapText="1"/>
    </xf>
    <xf numFmtId="2" fontId="3" fillId="0" borderId="0" xfId="1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left" vertical="center" wrapText="1"/>
    </xf>
    <xf numFmtId="2" fontId="2" fillId="0" borderId="0" xfId="0" applyNumberFormat="1" applyFont="1" applyFill="1" applyBorder="1" applyAlignment="1">
      <alignment wrapText="1"/>
    </xf>
    <xf numFmtId="0" fontId="2" fillId="0" borderId="0" xfId="0" applyNumberFormat="1" applyFont="1" applyFill="1" applyBorder="1" applyAlignment="1">
      <alignment wrapText="1"/>
    </xf>
    <xf numFmtId="2" fontId="7" fillId="0" borderId="0" xfId="0" applyNumberFormat="1" applyFont="1" applyFill="1" applyBorder="1" applyAlignment="1">
      <alignment horizontal="center" wrapText="1"/>
    </xf>
    <xf numFmtId="0" fontId="7" fillId="0" borderId="0" xfId="0" applyNumberFormat="1" applyFont="1" applyFill="1" applyBorder="1" applyAlignment="1">
      <alignment wrapText="1"/>
    </xf>
    <xf numFmtId="2" fontId="5" fillId="0" borderId="0" xfId="1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wrapText="1"/>
    </xf>
    <xf numFmtId="0" fontId="9" fillId="0" borderId="1" xfId="0" applyNumberFormat="1" applyFont="1" applyFill="1" applyBorder="1" applyAlignment="1">
      <alignment horizontal="left" vertical="top" wrapText="1"/>
    </xf>
    <xf numFmtId="0" fontId="10" fillId="0" borderId="1" xfId="0" applyNumberFormat="1" applyFont="1" applyFill="1" applyBorder="1" applyAlignment="1">
      <alignment horizontal="left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2" fontId="3" fillId="2" borderId="2" xfId="1" applyNumberFormat="1" applyFont="1" applyFill="1" applyBorder="1" applyAlignment="1">
      <alignment horizontal="center" vertical="center" wrapText="1"/>
    </xf>
    <xf numFmtId="2" fontId="3" fillId="0" borderId="2" xfId="1" applyNumberFormat="1" applyFont="1" applyFill="1" applyBorder="1" applyAlignment="1">
      <alignment horizontal="center" vertical="center" wrapText="1"/>
    </xf>
    <xf numFmtId="2" fontId="3" fillId="3" borderId="2" xfId="1" applyNumberFormat="1" applyFont="1" applyFill="1" applyBorder="1" applyAlignment="1">
      <alignment horizontal="center" vertical="center" wrapText="1"/>
    </xf>
    <xf numFmtId="2" fontId="3" fillId="4" borderId="2" xfId="0" applyNumberFormat="1" applyFont="1" applyFill="1" applyBorder="1" applyAlignment="1">
      <alignment horizontal="center" vertical="center" wrapText="1"/>
    </xf>
    <xf numFmtId="2" fontId="5" fillId="0" borderId="2" xfId="0" applyNumberFormat="1" applyFont="1" applyFill="1" applyBorder="1" applyAlignment="1">
      <alignment horizontal="center" vertical="center" wrapText="1"/>
    </xf>
    <xf numFmtId="2" fontId="3" fillId="3" borderId="2" xfId="0" applyNumberFormat="1" applyFont="1" applyFill="1" applyBorder="1" applyAlignment="1">
      <alignment horizontal="center" vertical="center" wrapText="1"/>
    </xf>
    <xf numFmtId="2" fontId="5" fillId="0" borderId="2" xfId="1" applyNumberFormat="1" applyFont="1" applyFill="1" applyBorder="1" applyAlignment="1">
      <alignment horizontal="center" vertical="center" wrapText="1"/>
    </xf>
    <xf numFmtId="2" fontId="5" fillId="0" borderId="2" xfId="1" applyNumberFormat="1" applyFont="1" applyBorder="1" applyAlignment="1">
      <alignment horizontal="center" vertical="center" wrapText="1"/>
    </xf>
    <xf numFmtId="2" fontId="5" fillId="0" borderId="3" xfId="1" applyNumberFormat="1" applyFont="1" applyFill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wrapText="1"/>
    </xf>
    <xf numFmtId="0" fontId="7" fillId="0" borderId="1" xfId="0" applyNumberFormat="1" applyFont="1" applyBorder="1" applyAlignment="1">
      <alignment horizontal="left" wrapText="1"/>
    </xf>
    <xf numFmtId="0" fontId="2" fillId="5" borderId="2" xfId="0" applyNumberFormat="1" applyFont="1" applyFill="1" applyBorder="1" applyAlignment="1">
      <alignment horizontal="center" vertical="center" wrapText="1"/>
    </xf>
    <xf numFmtId="2" fontId="5" fillId="0" borderId="6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wrapText="1"/>
    </xf>
    <xf numFmtId="2" fontId="2" fillId="0" borderId="0" xfId="0" applyNumberFormat="1" applyFont="1" applyAlignment="1">
      <alignment horizontal="center" wrapText="1"/>
    </xf>
    <xf numFmtId="2" fontId="5" fillId="3" borderId="2" xfId="1" applyNumberFormat="1" applyFont="1" applyFill="1" applyBorder="1" applyAlignment="1">
      <alignment horizontal="center" vertical="center" wrapText="1"/>
    </xf>
    <xf numFmtId="2" fontId="5" fillId="3" borderId="1" xfId="1" applyNumberFormat="1" applyFont="1" applyFill="1" applyBorder="1" applyAlignment="1">
      <alignment horizontal="center" vertical="center" wrapText="1"/>
    </xf>
    <xf numFmtId="2" fontId="5" fillId="3" borderId="2" xfId="0" applyNumberFormat="1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left" vertical="top" wrapText="1"/>
    </xf>
    <xf numFmtId="0" fontId="3" fillId="0" borderId="1" xfId="0" applyNumberFormat="1" applyFont="1" applyFill="1" applyBorder="1" applyAlignment="1">
      <alignment horizontal="left" vertical="top" wrapText="1"/>
    </xf>
    <xf numFmtId="2" fontId="2" fillId="0" borderId="0" xfId="0" applyNumberFormat="1" applyFont="1" applyAlignment="1"/>
    <xf numFmtId="0" fontId="2" fillId="5" borderId="2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Border="1" applyAlignment="1">
      <alignment wrapText="1"/>
    </xf>
    <xf numFmtId="2" fontId="12" fillId="0" borderId="1" xfId="0" applyNumberFormat="1" applyFont="1" applyBorder="1" applyAlignment="1">
      <alignment horizont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left" wrapText="1"/>
    </xf>
    <xf numFmtId="2" fontId="7" fillId="0" borderId="1" xfId="0" applyNumberFormat="1" applyFont="1" applyBorder="1" applyAlignment="1">
      <alignment horizontal="left" wrapText="1"/>
    </xf>
    <xf numFmtId="2" fontId="7" fillId="0" borderId="1" xfId="0" applyNumberFormat="1" applyFont="1" applyFill="1" applyBorder="1" applyAlignment="1">
      <alignment horizontal="left" wrapText="1"/>
    </xf>
    <xf numFmtId="0" fontId="7" fillId="0" borderId="0" xfId="0" applyNumberFormat="1" applyFont="1" applyAlignment="1">
      <alignment horizontal="left" wrapText="1"/>
    </xf>
    <xf numFmtId="0" fontId="7" fillId="0" borderId="8" xfId="0" applyNumberFormat="1" applyFont="1" applyBorder="1" applyAlignment="1">
      <alignment horizontal="left" wrapText="1"/>
    </xf>
    <xf numFmtId="2" fontId="5" fillId="0" borderId="1" xfId="1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wrapText="1"/>
    </xf>
    <xf numFmtId="2" fontId="2" fillId="0" borderId="1" xfId="0" applyNumberFormat="1" applyFont="1" applyBorder="1" applyAlignment="1">
      <alignment wrapText="1"/>
    </xf>
    <xf numFmtId="0" fontId="12" fillId="3" borderId="1" xfId="0" applyNumberFormat="1" applyFont="1" applyFill="1" applyBorder="1" applyAlignment="1">
      <alignment wrapText="1"/>
    </xf>
    <xf numFmtId="4" fontId="5" fillId="0" borderId="1" xfId="1" applyNumberFormat="1" applyFont="1" applyFill="1" applyBorder="1" applyAlignment="1">
      <alignment horizontal="right" vertical="center" wrapText="1"/>
    </xf>
    <xf numFmtId="4" fontId="5" fillId="0" borderId="2" xfId="0" applyNumberFormat="1" applyFont="1" applyFill="1" applyBorder="1" applyAlignment="1">
      <alignment horizontal="right" vertical="center" wrapText="1"/>
    </xf>
    <xf numFmtId="4" fontId="3" fillId="3" borderId="1" xfId="1" applyNumberFormat="1" applyFont="1" applyFill="1" applyBorder="1" applyAlignment="1">
      <alignment horizontal="right" vertical="center" wrapText="1"/>
    </xf>
    <xf numFmtId="4" fontId="3" fillId="3" borderId="2" xfId="0" applyNumberFormat="1" applyFont="1" applyFill="1" applyBorder="1" applyAlignment="1">
      <alignment horizontal="right" vertical="center" wrapText="1"/>
    </xf>
    <xf numFmtId="4" fontId="3" fillId="0" borderId="1" xfId="1" applyNumberFormat="1" applyFont="1" applyFill="1" applyBorder="1" applyAlignment="1">
      <alignment horizontal="right" vertical="center" wrapText="1"/>
    </xf>
    <xf numFmtId="4" fontId="3" fillId="0" borderId="2" xfId="0" applyNumberFormat="1" applyFont="1" applyFill="1" applyBorder="1" applyAlignment="1">
      <alignment horizontal="right" vertical="center" wrapText="1"/>
    </xf>
    <xf numFmtId="4" fontId="3" fillId="4" borderId="1" xfId="1" applyNumberFormat="1" applyFont="1" applyFill="1" applyBorder="1" applyAlignment="1">
      <alignment horizontal="right" vertical="center" wrapText="1"/>
    </xf>
    <xf numFmtId="4" fontId="3" fillId="4" borderId="2" xfId="0" applyNumberFormat="1" applyFont="1" applyFill="1" applyBorder="1" applyAlignment="1">
      <alignment horizontal="right" vertical="center" wrapText="1"/>
    </xf>
    <xf numFmtId="4" fontId="5" fillId="0" borderId="2" xfId="1" applyNumberFormat="1" applyFont="1" applyFill="1" applyBorder="1" applyAlignment="1">
      <alignment horizontal="right" vertical="center" wrapText="1"/>
    </xf>
    <xf numFmtId="4" fontId="5" fillId="0" borderId="2" xfId="1" applyNumberFormat="1" applyFont="1" applyBorder="1" applyAlignment="1">
      <alignment horizontal="right" vertical="center" wrapText="1"/>
    </xf>
    <xf numFmtId="4" fontId="2" fillId="0" borderId="1" xfId="0" applyNumberFormat="1" applyFont="1" applyBorder="1" applyAlignment="1">
      <alignment horizontal="right" wrapText="1"/>
    </xf>
    <xf numFmtId="4" fontId="5" fillId="0" borderId="1" xfId="1" applyNumberFormat="1" applyFont="1" applyBorder="1" applyAlignment="1">
      <alignment horizontal="right" vertical="center" wrapText="1"/>
    </xf>
    <xf numFmtId="4" fontId="12" fillId="0" borderId="1" xfId="0" applyNumberFormat="1" applyFont="1" applyBorder="1" applyAlignment="1">
      <alignment horizontal="right" wrapText="1"/>
    </xf>
    <xf numFmtId="4" fontId="12" fillId="3" borderId="1" xfId="0" applyNumberFormat="1" applyFont="1" applyFill="1" applyBorder="1" applyAlignment="1">
      <alignment horizontal="right" wrapText="1"/>
    </xf>
    <xf numFmtId="4" fontId="3" fillId="3" borderId="2" xfId="1" applyNumberFormat="1" applyFont="1" applyFill="1" applyBorder="1" applyAlignment="1">
      <alignment horizontal="right" vertical="center" wrapText="1"/>
    </xf>
    <xf numFmtId="4" fontId="3" fillId="0" borderId="2" xfId="1" applyNumberFormat="1" applyFont="1" applyFill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wrapText="1"/>
    </xf>
    <xf numFmtId="4" fontId="5" fillId="0" borderId="0" xfId="1" applyNumberFormat="1" applyFont="1" applyFill="1" applyBorder="1" applyAlignment="1">
      <alignment horizontal="right" vertical="center" wrapText="1"/>
    </xf>
    <xf numFmtId="4" fontId="3" fillId="0" borderId="0" xfId="1" applyNumberFormat="1" applyFont="1" applyFill="1" applyBorder="1" applyAlignment="1">
      <alignment horizontal="right" vertical="center" wrapText="1"/>
    </xf>
    <xf numFmtId="0" fontId="6" fillId="6" borderId="1" xfId="0" applyNumberFormat="1" applyFont="1" applyFill="1" applyBorder="1" applyAlignment="1">
      <alignment horizontal="left" vertical="center" wrapText="1"/>
    </xf>
    <xf numFmtId="2" fontId="2" fillId="3" borderId="1" xfId="0" applyNumberFormat="1" applyFont="1" applyFill="1" applyBorder="1" applyAlignment="1">
      <alignment horizontal="center" wrapText="1"/>
    </xf>
    <xf numFmtId="4" fontId="5" fillId="0" borderId="2" xfId="1" applyNumberFormat="1" applyFont="1" applyBorder="1" applyAlignment="1">
      <alignment horizontal="right" wrapText="1"/>
    </xf>
    <xf numFmtId="0" fontId="7" fillId="0" borderId="1" xfId="0" applyNumberFormat="1" applyFont="1" applyBorder="1" applyAlignment="1">
      <alignment horizontal="center" wrapText="1"/>
    </xf>
    <xf numFmtId="2" fontId="3" fillId="6" borderId="2" xfId="0" applyNumberFormat="1" applyFont="1" applyFill="1" applyBorder="1" applyAlignment="1">
      <alignment horizontal="center" vertical="center" wrapText="1"/>
    </xf>
    <xf numFmtId="0" fontId="4" fillId="6" borderId="1" xfId="0" applyNumberFormat="1" applyFont="1" applyFill="1" applyBorder="1" applyAlignment="1">
      <alignment horizontal="left" vertical="center" wrapText="1"/>
    </xf>
    <xf numFmtId="4" fontId="3" fillId="6" borderId="1" xfId="1" applyNumberFormat="1" applyFont="1" applyFill="1" applyBorder="1" applyAlignment="1">
      <alignment horizontal="right" vertical="center" wrapText="1"/>
    </xf>
    <xf numFmtId="4" fontId="3" fillId="6" borderId="2" xfId="0" applyNumberFormat="1" applyFont="1" applyFill="1" applyBorder="1" applyAlignment="1">
      <alignment horizontal="right" vertical="center" wrapText="1"/>
    </xf>
    <xf numFmtId="4" fontId="5" fillId="0" borderId="1" xfId="1" applyNumberFormat="1" applyFont="1" applyFill="1" applyBorder="1" applyAlignment="1">
      <alignment horizontal="right" wrapText="1"/>
    </xf>
    <xf numFmtId="4" fontId="5" fillId="6" borderId="1" xfId="1" applyNumberFormat="1" applyFont="1" applyFill="1" applyBorder="1" applyAlignment="1">
      <alignment horizontal="right" wrapText="1"/>
    </xf>
    <xf numFmtId="4" fontId="12" fillId="3" borderId="1" xfId="0" applyNumberFormat="1" applyFont="1" applyFill="1" applyBorder="1" applyAlignment="1">
      <alignment wrapText="1"/>
    </xf>
    <xf numFmtId="2" fontId="12" fillId="3" borderId="1" xfId="0" applyNumberFormat="1" applyFont="1" applyFill="1" applyBorder="1" applyAlignment="1">
      <alignment horizontal="center" wrapText="1"/>
    </xf>
    <xf numFmtId="0" fontId="6" fillId="0" borderId="1" xfId="0" applyNumberFormat="1" applyFont="1" applyFill="1" applyBorder="1" applyAlignment="1">
      <alignment horizontal="left" wrapText="1"/>
    </xf>
    <xf numFmtId="2" fontId="5" fillId="0" borderId="2" xfId="1" applyNumberFormat="1" applyFont="1" applyBorder="1" applyAlignment="1">
      <alignment horizontal="center" wrapText="1"/>
    </xf>
    <xf numFmtId="2" fontId="5" fillId="6" borderId="2" xfId="1" applyNumberFormat="1" applyFont="1" applyFill="1" applyBorder="1" applyAlignment="1">
      <alignment horizontal="center" wrapText="1"/>
    </xf>
    <xf numFmtId="0" fontId="3" fillId="5" borderId="1" xfId="0" applyNumberFormat="1" applyFont="1" applyFill="1" applyBorder="1" applyAlignment="1">
      <alignment horizontal="center" vertical="center" wrapText="1"/>
    </xf>
    <xf numFmtId="0" fontId="2" fillId="5" borderId="2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left" vertical="center" wrapText="1"/>
    </xf>
    <xf numFmtId="0" fontId="7" fillId="0" borderId="5" xfId="0" applyNumberFormat="1" applyFont="1" applyBorder="1" applyAlignment="1">
      <alignment horizontal="left" vertical="center" wrapText="1"/>
    </xf>
    <xf numFmtId="2" fontId="5" fillId="0" borderId="4" xfId="1" applyNumberFormat="1" applyFont="1" applyFill="1" applyBorder="1" applyAlignment="1">
      <alignment horizontal="center" vertical="center" wrapText="1"/>
    </xf>
    <xf numFmtId="2" fontId="5" fillId="0" borderId="7" xfId="1" applyNumberFormat="1" applyFont="1" applyFill="1" applyBorder="1" applyAlignment="1">
      <alignment horizontal="center" vertical="center" wrapText="1"/>
    </xf>
    <xf numFmtId="2" fontId="5" fillId="0" borderId="5" xfId="1" applyNumberFormat="1" applyFont="1" applyFill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left" wrapText="1"/>
    </xf>
    <xf numFmtId="0" fontId="7" fillId="0" borderId="5" xfId="0" applyNumberFormat="1" applyFont="1" applyBorder="1" applyAlignment="1">
      <alignment horizontal="left" wrapText="1"/>
    </xf>
    <xf numFmtId="4" fontId="5" fillId="0" borderId="4" xfId="1" applyNumberFormat="1" applyFont="1" applyFill="1" applyBorder="1" applyAlignment="1">
      <alignment horizontal="right" vertical="center" wrapText="1"/>
    </xf>
    <xf numFmtId="4" fontId="5" fillId="0" borderId="7" xfId="1" applyNumberFormat="1" applyFont="1" applyFill="1" applyBorder="1" applyAlignment="1">
      <alignment horizontal="righ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7"/>
  <sheetViews>
    <sheetView topLeftCell="A40" workbookViewId="0">
      <selection activeCell="C3" sqref="C3"/>
    </sheetView>
  </sheetViews>
  <sheetFormatPr defaultColWidth="9.140625" defaultRowHeight="14.25"/>
  <cols>
    <col min="1" max="1" width="57" style="1" bestFit="1" customWidth="1"/>
    <col min="2" max="2" width="14.28515625" style="55" customWidth="1"/>
    <col min="3" max="3" width="19" style="2" customWidth="1"/>
    <col min="4" max="4" width="19.5703125" style="2" customWidth="1"/>
    <col min="5" max="5" width="27.7109375" style="69" customWidth="1"/>
    <col min="6" max="6" width="9.140625" style="20"/>
    <col min="7" max="8" width="9.140625" style="1"/>
    <col min="9" max="9" width="20.140625" style="1" customWidth="1"/>
    <col min="10" max="16384" width="9.140625" style="1"/>
  </cols>
  <sheetData>
    <row r="1" spans="1:6" ht="15">
      <c r="A1" s="109" t="s">
        <v>67</v>
      </c>
      <c r="B1" s="109"/>
      <c r="C1" s="110"/>
      <c r="D1" s="52"/>
      <c r="E1" s="51" t="s">
        <v>9</v>
      </c>
      <c r="F1" s="19"/>
    </row>
    <row r="2" spans="1:6" ht="15">
      <c r="A2" s="13"/>
      <c r="B2" s="10"/>
      <c r="C2" s="40"/>
      <c r="D2" s="40"/>
      <c r="E2" s="51"/>
    </row>
    <row r="3" spans="1:6" ht="15">
      <c r="A3" s="14" t="s">
        <v>4</v>
      </c>
      <c r="B3" s="15">
        <v>12357</v>
      </c>
      <c r="C3" s="41"/>
      <c r="D3" s="41"/>
      <c r="E3" s="51"/>
    </row>
    <row r="4" spans="1:6" ht="15">
      <c r="A4" s="3"/>
      <c r="B4" s="4"/>
      <c r="C4" s="42"/>
      <c r="D4" s="42"/>
      <c r="E4" s="51"/>
    </row>
    <row r="5" spans="1:6" ht="15">
      <c r="A5" s="5" t="s">
        <v>0</v>
      </c>
      <c r="B5" s="6" t="s">
        <v>1</v>
      </c>
      <c r="C5" s="43" t="s">
        <v>28</v>
      </c>
      <c r="D5" s="43" t="s">
        <v>55</v>
      </c>
      <c r="E5" s="51"/>
    </row>
    <row r="6" spans="1:6" ht="15">
      <c r="A6" s="7" t="s">
        <v>2</v>
      </c>
      <c r="B6" s="22"/>
      <c r="C6" s="44"/>
      <c r="D6" s="44"/>
      <c r="E6" s="51"/>
    </row>
    <row r="7" spans="1:6" ht="16.5">
      <c r="A7" s="9" t="s">
        <v>38</v>
      </c>
      <c r="B7" s="12">
        <f>12357*25.64</f>
        <v>316833.48</v>
      </c>
      <c r="C7" s="45">
        <f>B7*2</f>
        <v>633666.96</v>
      </c>
      <c r="D7" s="45"/>
      <c r="E7" s="65" t="s">
        <v>60</v>
      </c>
    </row>
    <row r="8" spans="1:6" ht="16.5" customHeight="1">
      <c r="A8" s="9" t="s">
        <v>29</v>
      </c>
      <c r="B8" s="12">
        <f>12357*7</f>
        <v>86499</v>
      </c>
      <c r="C8" s="45">
        <f>B8*2</f>
        <v>172998</v>
      </c>
      <c r="D8" s="45"/>
      <c r="E8" s="116" t="s">
        <v>61</v>
      </c>
    </row>
    <row r="9" spans="1:6" ht="16.5">
      <c r="A9" s="9" t="s">
        <v>30</v>
      </c>
      <c r="B9" s="12">
        <f>12357*1.5</f>
        <v>18535.5</v>
      </c>
      <c r="C9" s="45">
        <f>B9*2</f>
        <v>37071</v>
      </c>
      <c r="D9" s="45"/>
      <c r="E9" s="117"/>
    </row>
    <row r="10" spans="1:6" ht="30.75">
      <c r="A10" s="39" t="s">
        <v>66</v>
      </c>
      <c r="B10" s="12">
        <f>12357*24.22</f>
        <v>299286.53999999998</v>
      </c>
      <c r="C10" s="45">
        <f>B10*9</f>
        <v>2693578.86</v>
      </c>
      <c r="D10" s="45"/>
      <c r="E10" s="51" t="s">
        <v>62</v>
      </c>
    </row>
    <row r="11" spans="1:6">
      <c r="A11" s="9" t="s">
        <v>31</v>
      </c>
      <c r="B11" s="12">
        <f>5*B3</f>
        <v>61785</v>
      </c>
      <c r="C11" s="45">
        <f t="shared" ref="C11:C12" si="0">B11*9</f>
        <v>556065</v>
      </c>
      <c r="D11" s="18"/>
      <c r="E11" s="111" t="s">
        <v>54</v>
      </c>
    </row>
    <row r="12" spans="1:6">
      <c r="A12" s="9" t="s">
        <v>39</v>
      </c>
      <c r="B12" s="12">
        <f>B3*0.5</f>
        <v>6178.5</v>
      </c>
      <c r="C12" s="45">
        <f t="shared" si="0"/>
        <v>55606.5</v>
      </c>
      <c r="D12" s="53"/>
      <c r="E12" s="112"/>
    </row>
    <row r="13" spans="1:6" ht="28.5">
      <c r="A13" s="9" t="s">
        <v>49</v>
      </c>
      <c r="B13" s="12">
        <v>1000</v>
      </c>
      <c r="C13" s="45">
        <f>B13*11</f>
        <v>11000</v>
      </c>
      <c r="D13" s="45"/>
      <c r="E13" s="51"/>
    </row>
    <row r="14" spans="1:6" ht="28.5">
      <c r="A14" s="9" t="s">
        <v>52</v>
      </c>
      <c r="B14" s="12">
        <v>500</v>
      </c>
      <c r="C14" s="45">
        <f>B14*11</f>
        <v>5500</v>
      </c>
      <c r="D14" s="45"/>
      <c r="E14" s="51"/>
    </row>
    <row r="15" spans="1:6" ht="15">
      <c r="A15" s="5" t="s">
        <v>22</v>
      </c>
      <c r="B15" s="6">
        <f>SUM(B7:B14)</f>
        <v>790618.02</v>
      </c>
      <c r="C15" s="46">
        <f>SUM(C7:C13)</f>
        <v>4159986.32</v>
      </c>
      <c r="D15" s="46"/>
      <c r="E15" s="51"/>
    </row>
    <row r="16" spans="1:6" s="25" customFormat="1" ht="15">
      <c r="A16" s="3"/>
      <c r="B16" s="4"/>
      <c r="C16" s="40"/>
      <c r="D16" s="40"/>
      <c r="E16" s="66"/>
      <c r="F16" s="24"/>
    </row>
    <row r="17" spans="1:10" ht="15">
      <c r="A17" s="7" t="s">
        <v>3</v>
      </c>
      <c r="B17" s="8"/>
      <c r="C17" s="44"/>
      <c r="D17" s="44"/>
      <c r="E17" s="67"/>
      <c r="H17" s="28"/>
      <c r="I17" s="28"/>
      <c r="J17" s="28"/>
    </row>
    <row r="18" spans="1:10" s="25" customFormat="1" ht="15">
      <c r="A18" s="11"/>
      <c r="B18" s="4"/>
      <c r="C18" s="40"/>
      <c r="D18" s="40"/>
      <c r="E18" s="68"/>
      <c r="F18" s="24"/>
      <c r="H18" s="33"/>
      <c r="I18" s="33"/>
      <c r="J18" s="33"/>
    </row>
    <row r="19" spans="1:10">
      <c r="A19" s="11" t="s">
        <v>48</v>
      </c>
      <c r="B19" s="12"/>
      <c r="C19" s="47"/>
      <c r="D19" s="47"/>
      <c r="E19" s="51"/>
      <c r="H19" s="28"/>
      <c r="I19" s="28"/>
      <c r="J19" s="28"/>
    </row>
    <row r="20" spans="1:10">
      <c r="A20" s="16" t="s">
        <v>5</v>
      </c>
      <c r="B20" s="12">
        <v>10000</v>
      </c>
      <c r="C20" s="48">
        <f>B20*11</f>
        <v>110000</v>
      </c>
      <c r="D20" s="48">
        <f>B20/$B$3</f>
        <v>0.80925791049607509</v>
      </c>
      <c r="E20" s="51"/>
      <c r="H20" s="28"/>
      <c r="I20" s="28"/>
      <c r="J20" s="28"/>
    </row>
    <row r="21" spans="1:10" ht="14.25" customHeight="1">
      <c r="A21" s="16" t="s">
        <v>6</v>
      </c>
      <c r="B21" s="12">
        <v>8000</v>
      </c>
      <c r="C21" s="48">
        <f>B21*11</f>
        <v>88000</v>
      </c>
      <c r="D21" s="48">
        <f t="shared" ref="D21:D54" si="1">B21/$B$3</f>
        <v>0.64740632839686008</v>
      </c>
      <c r="E21" s="51"/>
      <c r="H21" s="28"/>
      <c r="I21" s="36"/>
      <c r="J21" s="28"/>
    </row>
    <row r="22" spans="1:10">
      <c r="A22" s="37" t="s">
        <v>24</v>
      </c>
      <c r="B22" s="29">
        <v>3000</v>
      </c>
      <c r="C22" s="48">
        <f>B22*11</f>
        <v>33000</v>
      </c>
      <c r="D22" s="48">
        <f t="shared" si="1"/>
        <v>0.24277737314882253</v>
      </c>
      <c r="E22" s="51"/>
      <c r="H22" s="28"/>
      <c r="I22" s="36"/>
      <c r="J22" s="28"/>
    </row>
    <row r="23" spans="1:10" ht="28.5">
      <c r="A23" s="16" t="s">
        <v>34</v>
      </c>
      <c r="B23" s="12">
        <v>35000</v>
      </c>
      <c r="C23" s="48">
        <f>B23*11</f>
        <v>385000</v>
      </c>
      <c r="D23" s="48">
        <f t="shared" si="1"/>
        <v>2.8324026867362631</v>
      </c>
      <c r="E23" s="51"/>
      <c r="H23" s="28"/>
      <c r="I23" s="36"/>
      <c r="J23" s="28"/>
    </row>
    <row r="24" spans="1:10" ht="28.5">
      <c r="A24" s="16" t="s">
        <v>42</v>
      </c>
      <c r="B24" s="12">
        <f>C24/11</f>
        <v>909.09090909090912</v>
      </c>
      <c r="C24" s="48">
        <v>10000</v>
      </c>
      <c r="D24" s="48">
        <f t="shared" si="1"/>
        <v>7.3568900954188651E-2</v>
      </c>
      <c r="E24" s="51"/>
      <c r="H24" s="28"/>
      <c r="I24" s="36"/>
      <c r="J24" s="28"/>
    </row>
    <row r="25" spans="1:10">
      <c r="A25" s="16" t="s">
        <v>16</v>
      </c>
      <c r="B25" s="12">
        <f>C25/11</f>
        <v>445.45454545454544</v>
      </c>
      <c r="C25" s="47">
        <v>4900</v>
      </c>
      <c r="D25" s="48">
        <f t="shared" si="1"/>
        <v>3.6048761467552433E-2</v>
      </c>
      <c r="E25" s="51" t="s">
        <v>32</v>
      </c>
      <c r="H25" s="28"/>
      <c r="I25" s="36"/>
      <c r="J25" s="28"/>
    </row>
    <row r="26" spans="1:10" ht="18" customHeight="1">
      <c r="A26" s="17" t="s">
        <v>15</v>
      </c>
      <c r="B26" s="12">
        <v>75000</v>
      </c>
      <c r="C26" s="48">
        <f>B26*11</f>
        <v>825000</v>
      </c>
      <c r="D26" s="48">
        <f t="shared" si="1"/>
        <v>6.069434328720563</v>
      </c>
      <c r="E26" s="51"/>
      <c r="H26" s="28"/>
      <c r="I26" s="26"/>
      <c r="J26" s="28"/>
    </row>
    <row r="27" spans="1:10">
      <c r="A27" s="17" t="s">
        <v>50</v>
      </c>
      <c r="B27" s="12">
        <v>18659.12</v>
      </c>
      <c r="C27" s="48">
        <f>B27*11</f>
        <v>205250.31999999998</v>
      </c>
      <c r="D27" s="48">
        <f t="shared" si="1"/>
        <v>1.5100040462895523</v>
      </c>
      <c r="E27" s="51"/>
      <c r="H27" s="28"/>
      <c r="I27" s="28"/>
      <c r="J27" s="28"/>
    </row>
    <row r="28" spans="1:10">
      <c r="A28" s="16" t="s">
        <v>43</v>
      </c>
      <c r="B28" s="12">
        <v>25415</v>
      </c>
      <c r="C28" s="48">
        <f>B28*11</f>
        <v>279565</v>
      </c>
      <c r="D28" s="48">
        <f t="shared" si="1"/>
        <v>2.0567289795257748</v>
      </c>
      <c r="E28" s="51"/>
      <c r="H28" s="28"/>
      <c r="I28" s="28"/>
      <c r="J28" s="28"/>
    </row>
    <row r="29" spans="1:10" ht="28.5">
      <c r="A29" s="16" t="s">
        <v>37</v>
      </c>
      <c r="B29" s="12">
        <f>C29/11</f>
        <v>1923.7854545454545</v>
      </c>
      <c r="C29" s="48">
        <v>21161.64</v>
      </c>
      <c r="D29" s="48">
        <f t="shared" si="1"/>
        <v>0.15568385971881965</v>
      </c>
      <c r="E29" s="51"/>
      <c r="H29" s="28"/>
      <c r="I29" s="28"/>
      <c r="J29" s="28"/>
    </row>
    <row r="30" spans="1:10">
      <c r="A30" s="16" t="s">
        <v>44</v>
      </c>
      <c r="B30" s="12">
        <v>1800</v>
      </c>
      <c r="C30" s="48">
        <f>B30*11</f>
        <v>19800</v>
      </c>
      <c r="D30" s="48">
        <f t="shared" si="1"/>
        <v>0.14566642388929352</v>
      </c>
      <c r="E30" s="51"/>
    </row>
    <row r="31" spans="1:10" ht="28.5">
      <c r="A31" s="37" t="s">
        <v>45</v>
      </c>
      <c r="B31" s="12">
        <v>13345.56</v>
      </c>
      <c r="C31" s="48">
        <f>B31*11</f>
        <v>146801.16</v>
      </c>
      <c r="D31" s="48">
        <f t="shared" si="1"/>
        <v>1.0799999999999998</v>
      </c>
      <c r="E31" s="51"/>
    </row>
    <row r="32" spans="1:10">
      <c r="A32" s="16" t="s">
        <v>17</v>
      </c>
      <c r="B32" s="12">
        <v>21200</v>
      </c>
      <c r="C32" s="48">
        <f>B32*11</f>
        <v>233200</v>
      </c>
      <c r="D32" s="48">
        <f t="shared" si="1"/>
        <v>1.7156267702516792</v>
      </c>
      <c r="E32" s="51"/>
    </row>
    <row r="33" spans="1:6" ht="28.5">
      <c r="A33" s="16" t="s">
        <v>11</v>
      </c>
      <c r="B33" s="12">
        <f>C33/11</f>
        <v>4545.454545454545</v>
      </c>
      <c r="C33" s="49">
        <v>50000</v>
      </c>
      <c r="D33" s="48">
        <f t="shared" si="1"/>
        <v>0.36784450477094321</v>
      </c>
      <c r="E33" s="51" t="s">
        <v>8</v>
      </c>
    </row>
    <row r="34" spans="1:6" ht="15" customHeight="1">
      <c r="A34" s="16" t="s">
        <v>12</v>
      </c>
      <c r="B34" s="12">
        <f>C34/11</f>
        <v>454.54545454545456</v>
      </c>
      <c r="C34" s="49">
        <v>5000</v>
      </c>
      <c r="D34" s="48">
        <f t="shared" si="1"/>
        <v>3.6784450477094326E-2</v>
      </c>
      <c r="E34" s="51" t="s">
        <v>8</v>
      </c>
    </row>
    <row r="35" spans="1:6" s="28" customFormat="1">
      <c r="A35" s="23" t="s">
        <v>27</v>
      </c>
      <c r="B35" s="12">
        <f>C35/11</f>
        <v>2272.7272727272725</v>
      </c>
      <c r="C35" s="48">
        <v>25000</v>
      </c>
      <c r="D35" s="48">
        <f t="shared" si="1"/>
        <v>0.18392225238547161</v>
      </c>
      <c r="E35" s="51"/>
      <c r="F35" s="27"/>
    </row>
    <row r="36" spans="1:6">
      <c r="A36" s="16" t="s">
        <v>7</v>
      </c>
      <c r="B36" s="12">
        <f t="shared" ref="B36:B43" si="2">C36/11</f>
        <v>7636.363636363636</v>
      </c>
      <c r="C36" s="47">
        <v>84000</v>
      </c>
      <c r="D36" s="48">
        <f t="shared" si="1"/>
        <v>0.61797876801518459</v>
      </c>
      <c r="E36" s="51"/>
    </row>
    <row r="37" spans="1:6">
      <c r="A37" s="16" t="s">
        <v>13</v>
      </c>
      <c r="B37" s="12">
        <f t="shared" si="2"/>
        <v>9090.9090909090901</v>
      </c>
      <c r="C37" s="49">
        <v>100000</v>
      </c>
      <c r="D37" s="48">
        <f t="shared" si="1"/>
        <v>0.73568900954188643</v>
      </c>
      <c r="E37" s="51" t="s">
        <v>8</v>
      </c>
    </row>
    <row r="38" spans="1:6">
      <c r="A38" s="16" t="s">
        <v>18</v>
      </c>
      <c r="B38" s="12">
        <f t="shared" si="2"/>
        <v>1818.1818181818182</v>
      </c>
      <c r="C38" s="49">
        <v>20000</v>
      </c>
      <c r="D38" s="48">
        <f t="shared" si="1"/>
        <v>0.1471378019083773</v>
      </c>
      <c r="E38" s="51" t="s">
        <v>33</v>
      </c>
    </row>
    <row r="39" spans="1:6" ht="28.5">
      <c r="A39" s="16" t="s">
        <v>51</v>
      </c>
      <c r="B39" s="12">
        <f t="shared" si="2"/>
        <v>909.09090909090912</v>
      </c>
      <c r="C39" s="49">
        <v>10000</v>
      </c>
      <c r="D39" s="48">
        <f t="shared" si="1"/>
        <v>7.3568900954188651E-2</v>
      </c>
      <c r="E39" s="51" t="s">
        <v>8</v>
      </c>
    </row>
    <row r="40" spans="1:6">
      <c r="A40" s="16" t="s">
        <v>23</v>
      </c>
      <c r="B40" s="12">
        <f t="shared" si="2"/>
        <v>181.81818181818181</v>
      </c>
      <c r="C40" s="49">
        <v>2000</v>
      </c>
      <c r="D40" s="48">
        <f t="shared" si="1"/>
        <v>1.4713780190837729E-2</v>
      </c>
      <c r="E40" s="51" t="s">
        <v>8</v>
      </c>
    </row>
    <row r="41" spans="1:6">
      <c r="A41" s="16" t="s">
        <v>41</v>
      </c>
      <c r="B41" s="12">
        <f t="shared" si="2"/>
        <v>545.4545454545455</v>
      </c>
      <c r="C41" s="49">
        <v>6000</v>
      </c>
      <c r="D41" s="48">
        <f t="shared" si="1"/>
        <v>4.4141340572513191E-2</v>
      </c>
      <c r="E41" s="51" t="s">
        <v>32</v>
      </c>
    </row>
    <row r="42" spans="1:6">
      <c r="A42" s="16" t="s">
        <v>10</v>
      </c>
      <c r="B42" s="12">
        <f t="shared" si="2"/>
        <v>300</v>
      </c>
      <c r="C42" s="49">
        <v>3300</v>
      </c>
      <c r="D42" s="48">
        <f t="shared" si="1"/>
        <v>2.4277737314882253E-2</v>
      </c>
      <c r="E42" s="51" t="s">
        <v>32</v>
      </c>
    </row>
    <row r="43" spans="1:6">
      <c r="A43" s="16" t="s">
        <v>35</v>
      </c>
      <c r="B43" s="12">
        <f t="shared" si="2"/>
        <v>272.72727272727275</v>
      </c>
      <c r="C43" s="49">
        <v>3000</v>
      </c>
      <c r="D43" s="48">
        <f>B43/$B$3</f>
        <v>2.2070670286256595E-2</v>
      </c>
      <c r="E43" s="51" t="s">
        <v>32</v>
      </c>
    </row>
    <row r="44" spans="1:6" ht="28.5">
      <c r="A44" s="16" t="s">
        <v>40</v>
      </c>
      <c r="B44" s="12">
        <f>C44/11</f>
        <v>27272.727272727272</v>
      </c>
      <c r="C44" s="47">
        <v>300000</v>
      </c>
      <c r="D44" s="48">
        <f>B44/$B$3</f>
        <v>2.2070670286256595</v>
      </c>
      <c r="E44" s="51"/>
    </row>
    <row r="45" spans="1:6" ht="30">
      <c r="A45" s="5" t="s">
        <v>53</v>
      </c>
      <c r="B45" s="6">
        <f>SUM(B20:B44)</f>
        <v>269998.01090909092</v>
      </c>
      <c r="C45" s="43">
        <f>SUM(C20:C44)</f>
        <v>2969978.12</v>
      </c>
      <c r="D45" s="43">
        <f>SUM(D20:D44)</f>
        <v>21.84980261463874</v>
      </c>
      <c r="E45" s="51"/>
    </row>
    <row r="46" spans="1:6" ht="15">
      <c r="A46" s="3"/>
      <c r="B46" s="4"/>
      <c r="C46" s="42"/>
      <c r="D46" s="48"/>
      <c r="E46" s="51"/>
    </row>
    <row r="47" spans="1:6" ht="15">
      <c r="A47" s="3" t="s">
        <v>14</v>
      </c>
      <c r="B47" s="4"/>
      <c r="C47" s="42"/>
      <c r="D47" s="48"/>
      <c r="E47" s="51"/>
    </row>
    <row r="48" spans="1:6">
      <c r="A48" s="16" t="s">
        <v>26</v>
      </c>
      <c r="B48" s="12">
        <v>5000</v>
      </c>
      <c r="C48" s="47">
        <f>B48*11</f>
        <v>55000</v>
      </c>
      <c r="D48" s="48">
        <f t="shared" si="1"/>
        <v>0.40462895524803755</v>
      </c>
      <c r="E48" s="51"/>
    </row>
    <row r="49" spans="1:7" ht="28.5">
      <c r="A49" s="16" t="s">
        <v>63</v>
      </c>
      <c r="B49" s="12">
        <f>C49/11</f>
        <v>1818.1818181818182</v>
      </c>
      <c r="C49" s="47">
        <v>20000</v>
      </c>
      <c r="D49" s="48">
        <f t="shared" si="1"/>
        <v>0.1471378019083773</v>
      </c>
      <c r="E49" s="51"/>
    </row>
    <row r="50" spans="1:7" ht="28.5">
      <c r="A50" s="16" t="s">
        <v>36</v>
      </c>
      <c r="B50" s="12">
        <f t="shared" ref="B50:B53" si="3">C50/11</f>
        <v>3272.7272727272725</v>
      </c>
      <c r="C50" s="47">
        <v>36000</v>
      </c>
      <c r="D50" s="48">
        <f t="shared" si="1"/>
        <v>0.26484804343507912</v>
      </c>
      <c r="E50" s="51"/>
    </row>
    <row r="51" spans="1:7">
      <c r="A51" s="37" t="s">
        <v>19</v>
      </c>
      <c r="B51" s="12">
        <f t="shared" si="3"/>
        <v>13636.363636363636</v>
      </c>
      <c r="C51" s="50">
        <v>150000</v>
      </c>
      <c r="D51" s="48">
        <f t="shared" si="1"/>
        <v>1.1035335143128298</v>
      </c>
      <c r="E51" s="51"/>
    </row>
    <row r="52" spans="1:7">
      <c r="A52" s="37" t="s">
        <v>20</v>
      </c>
      <c r="B52" s="12">
        <f t="shared" si="3"/>
        <v>5454.545454545455</v>
      </c>
      <c r="C52" s="50">
        <v>60000</v>
      </c>
      <c r="D52" s="48">
        <f t="shared" si="1"/>
        <v>0.44141340572513188</v>
      </c>
      <c r="E52" s="51"/>
    </row>
    <row r="53" spans="1:7">
      <c r="A53" s="21" t="s">
        <v>21</v>
      </c>
      <c r="B53" s="12">
        <f t="shared" si="3"/>
        <v>110.90909090909091</v>
      </c>
      <c r="C53" s="50">
        <v>1220</v>
      </c>
      <c r="D53" s="48">
        <f t="shared" si="1"/>
        <v>8.9754059164110153E-3</v>
      </c>
      <c r="E53" s="51"/>
    </row>
    <row r="54" spans="1:7" ht="15">
      <c r="A54" s="5" t="s">
        <v>56</v>
      </c>
      <c r="B54" s="6">
        <f>SUM(B48:B53)</f>
        <v>29292.727272727276</v>
      </c>
      <c r="C54" s="43">
        <f>SUM(C48:C53)</f>
        <v>322220</v>
      </c>
      <c r="D54" s="43">
        <f t="shared" si="1"/>
        <v>2.3705371265458668</v>
      </c>
      <c r="E54" s="51"/>
      <c r="F54" s="61"/>
      <c r="G54" s="2"/>
    </row>
    <row r="55" spans="1:7" s="25" customFormat="1" ht="15">
      <c r="A55" s="3"/>
      <c r="B55" s="4"/>
      <c r="C55" s="42"/>
      <c r="D55" s="42"/>
      <c r="E55" s="66"/>
      <c r="F55" s="24"/>
    </row>
    <row r="56" spans="1:7" ht="30">
      <c r="A56" s="59" t="s">
        <v>64</v>
      </c>
      <c r="B56" s="57">
        <f>C56/9</f>
        <v>6178.5</v>
      </c>
      <c r="C56" s="58">
        <v>55606.5</v>
      </c>
      <c r="D56" s="46">
        <f>B56/B3</f>
        <v>0.5</v>
      </c>
      <c r="E56" s="51"/>
    </row>
    <row r="57" spans="1:7">
      <c r="A57" s="38"/>
      <c r="B57" s="12"/>
      <c r="C57" s="45"/>
      <c r="D57" s="45"/>
      <c r="E57" s="51"/>
    </row>
    <row r="58" spans="1:7" ht="15">
      <c r="A58" s="59" t="s">
        <v>46</v>
      </c>
      <c r="B58" s="57">
        <v>61785</v>
      </c>
      <c r="C58" s="56">
        <f>B58*11</f>
        <v>679635</v>
      </c>
      <c r="D58" s="43">
        <f>B58/$B$3</f>
        <v>5</v>
      </c>
      <c r="E58" s="51"/>
    </row>
    <row r="59" spans="1:7">
      <c r="A59" s="38"/>
      <c r="B59" s="12"/>
      <c r="C59" s="45"/>
      <c r="D59" s="45"/>
      <c r="E59" s="51"/>
    </row>
    <row r="60" spans="1:7" ht="15">
      <c r="A60" s="60" t="s">
        <v>57</v>
      </c>
      <c r="B60" s="12"/>
      <c r="C60" s="45"/>
      <c r="D60" s="45"/>
      <c r="E60" s="51"/>
    </row>
    <row r="61" spans="1:7">
      <c r="A61" s="23" t="s">
        <v>25</v>
      </c>
      <c r="B61" s="113" t="s">
        <v>59</v>
      </c>
      <c r="C61" s="113" t="s">
        <v>59</v>
      </c>
      <c r="D61" s="113" t="s">
        <v>59</v>
      </c>
      <c r="E61" s="51"/>
    </row>
    <row r="62" spans="1:7">
      <c r="A62" s="23" t="s">
        <v>47</v>
      </c>
      <c r="B62" s="114"/>
      <c r="C62" s="114"/>
      <c r="D62" s="114"/>
      <c r="E62" s="51"/>
    </row>
    <row r="63" spans="1:7" ht="30">
      <c r="A63" s="5" t="s">
        <v>58</v>
      </c>
      <c r="B63" s="115"/>
      <c r="C63" s="115"/>
      <c r="D63" s="115"/>
      <c r="E63" s="51"/>
    </row>
    <row r="64" spans="1:7" ht="15">
      <c r="A64" s="31"/>
      <c r="B64" s="26"/>
      <c r="C64" s="30"/>
      <c r="D64" s="30"/>
    </row>
    <row r="65" spans="1:5" ht="15">
      <c r="A65" s="63" t="s">
        <v>65</v>
      </c>
      <c r="B65" s="64">
        <f>B45+B54+B56+B58</f>
        <v>367254.23818181822</v>
      </c>
      <c r="C65" s="64">
        <f>C45+C54+C56+C58</f>
        <v>4027439.62</v>
      </c>
      <c r="D65" s="64">
        <f>D45+D54+D56+D58</f>
        <v>29.720339741184606</v>
      </c>
      <c r="E65" s="51"/>
    </row>
    <row r="66" spans="1:5">
      <c r="A66" s="33"/>
      <c r="B66" s="34"/>
      <c r="C66" s="34"/>
      <c r="D66" s="34"/>
    </row>
    <row r="67" spans="1:5">
      <c r="A67" s="35"/>
      <c r="B67" s="54"/>
      <c r="C67" s="32"/>
      <c r="D67" s="32"/>
    </row>
  </sheetData>
  <mergeCells count="6">
    <mergeCell ref="A1:C1"/>
    <mergeCell ref="E11:E12"/>
    <mergeCell ref="B61:B63"/>
    <mergeCell ref="C61:C63"/>
    <mergeCell ref="D61:D63"/>
    <mergeCell ref="E8:E9"/>
  </mergeCells>
  <pageMargins left="0.70866141732283472" right="0.70866141732283472" top="0.74803149606299213" bottom="0.74803149606299213" header="0.31496062992125984" footer="0.31496062992125984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75"/>
  <sheetViews>
    <sheetView tabSelected="1" workbookViewId="0">
      <selection activeCell="D10" sqref="D10"/>
    </sheetView>
  </sheetViews>
  <sheetFormatPr defaultColWidth="9.140625" defaultRowHeight="14.25"/>
  <cols>
    <col min="1" max="1" width="57" style="1" bestFit="1" customWidth="1"/>
    <col min="2" max="2" width="14.28515625" style="55" customWidth="1"/>
    <col min="3" max="3" width="19" style="2" customWidth="1"/>
    <col min="4" max="4" width="19.5703125" style="2" customWidth="1"/>
    <col min="5" max="5" width="27.7109375" style="69" customWidth="1"/>
    <col min="6" max="6" width="9.140625" style="20"/>
    <col min="7" max="8" width="9.140625" style="1"/>
    <col min="9" max="9" width="20.140625" style="1" customWidth="1"/>
    <col min="10" max="16384" width="9.140625" style="1"/>
  </cols>
  <sheetData>
    <row r="1" spans="1:10" ht="15">
      <c r="A1" s="109" t="s">
        <v>117</v>
      </c>
      <c r="B1" s="109"/>
      <c r="C1" s="110"/>
      <c r="D1" s="62"/>
      <c r="E1" s="97" t="s">
        <v>9</v>
      </c>
      <c r="F1" s="19"/>
    </row>
    <row r="2" spans="1:10" ht="15">
      <c r="A2" s="13"/>
      <c r="B2" s="10"/>
      <c r="C2" s="40"/>
      <c r="D2" s="40"/>
      <c r="E2" s="51"/>
    </row>
    <row r="3" spans="1:10" ht="15">
      <c r="A3" s="14" t="s">
        <v>4</v>
      </c>
      <c r="B3" s="15">
        <v>24875</v>
      </c>
      <c r="C3" s="41"/>
      <c r="D3" s="41"/>
      <c r="E3" s="51"/>
    </row>
    <row r="4" spans="1:10" ht="15">
      <c r="A4" s="3"/>
      <c r="B4" s="4"/>
      <c r="C4" s="42"/>
      <c r="D4" s="42"/>
      <c r="E4" s="51"/>
    </row>
    <row r="5" spans="1:10" ht="15">
      <c r="A5" s="5" t="s">
        <v>0</v>
      </c>
      <c r="B5" s="6" t="s">
        <v>1</v>
      </c>
      <c r="C5" s="43" t="s">
        <v>69</v>
      </c>
      <c r="D5" s="43" t="s">
        <v>55</v>
      </c>
      <c r="E5" s="51"/>
    </row>
    <row r="6" spans="1:10" ht="15">
      <c r="A6" s="7" t="s">
        <v>2</v>
      </c>
      <c r="B6" s="22"/>
      <c r="C6" s="44"/>
      <c r="D6" s="44"/>
      <c r="E6" s="51"/>
    </row>
    <row r="7" spans="1:10" ht="30.75">
      <c r="A7" s="39" t="s">
        <v>68</v>
      </c>
      <c r="B7" s="75">
        <f>B3*22</f>
        <v>547250</v>
      </c>
      <c r="C7" s="76">
        <f>B7*12</f>
        <v>6567000</v>
      </c>
      <c r="D7" s="45"/>
      <c r="E7" s="51" t="s">
        <v>62</v>
      </c>
    </row>
    <row r="8" spans="1:10" ht="28.5">
      <c r="A8" s="9" t="s">
        <v>70</v>
      </c>
      <c r="B8" s="75">
        <v>7381</v>
      </c>
      <c r="C8" s="76">
        <f>B8*11</f>
        <v>81191</v>
      </c>
      <c r="D8" s="45"/>
      <c r="E8" s="51"/>
    </row>
    <row r="9" spans="1:10">
      <c r="A9" s="9" t="s">
        <v>90</v>
      </c>
      <c r="B9" s="75">
        <v>4600</v>
      </c>
      <c r="C9" s="76">
        <f>B9*11</f>
        <v>50600</v>
      </c>
      <c r="D9" s="45"/>
      <c r="E9" s="51"/>
    </row>
    <row r="10" spans="1:10" ht="15">
      <c r="A10" s="5" t="s">
        <v>22</v>
      </c>
      <c r="B10" s="77">
        <f>SUM(B7:B9)</f>
        <v>559231</v>
      </c>
      <c r="C10" s="78">
        <f>SUM(C7:C8)</f>
        <v>6648191</v>
      </c>
      <c r="D10" s="46"/>
      <c r="E10" s="51"/>
    </row>
    <row r="11" spans="1:10" s="25" customFormat="1" ht="15">
      <c r="A11" s="3"/>
      <c r="B11" s="79"/>
      <c r="C11" s="80"/>
      <c r="D11" s="40"/>
      <c r="E11" s="66"/>
      <c r="F11" s="24"/>
    </row>
    <row r="12" spans="1:10" ht="15">
      <c r="A12" s="7" t="s">
        <v>3</v>
      </c>
      <c r="B12" s="81"/>
      <c r="C12" s="82"/>
      <c r="D12" s="44"/>
      <c r="E12" s="67"/>
      <c r="H12" s="28"/>
      <c r="I12" s="28"/>
      <c r="J12" s="28"/>
    </row>
    <row r="13" spans="1:10">
      <c r="A13" s="11" t="s">
        <v>104</v>
      </c>
      <c r="B13" s="75"/>
      <c r="C13" s="86"/>
      <c r="D13" s="71"/>
      <c r="E13" s="70"/>
      <c r="H13" s="28"/>
      <c r="I13" s="28"/>
      <c r="J13" s="28"/>
    </row>
    <row r="14" spans="1:10">
      <c r="A14" s="72"/>
      <c r="B14" s="85"/>
      <c r="C14" s="85"/>
      <c r="D14" s="73"/>
      <c r="E14" s="51"/>
      <c r="H14" s="28"/>
      <c r="I14" s="28"/>
      <c r="J14" s="28"/>
    </row>
    <row r="15" spans="1:10">
      <c r="A15" s="72" t="s">
        <v>72</v>
      </c>
      <c r="B15" s="85">
        <v>35000</v>
      </c>
      <c r="C15" s="85">
        <f>B15*12</f>
        <v>420000</v>
      </c>
      <c r="D15" s="29">
        <f>B15/B3</f>
        <v>1.4070351758793971</v>
      </c>
      <c r="E15" s="51"/>
      <c r="H15" s="28"/>
      <c r="I15" s="28"/>
      <c r="J15" s="28"/>
    </row>
    <row r="16" spans="1:10">
      <c r="A16" s="72" t="s">
        <v>73</v>
      </c>
      <c r="B16" s="85">
        <v>25000</v>
      </c>
      <c r="C16" s="85">
        <f t="shared" ref="C16:C24" si="0">B16*12</f>
        <v>300000</v>
      </c>
      <c r="D16" s="29">
        <f>B16/B3</f>
        <v>1.0050251256281406</v>
      </c>
      <c r="E16" s="51"/>
      <c r="H16" s="28"/>
      <c r="I16" s="28"/>
      <c r="J16" s="28"/>
    </row>
    <row r="17" spans="1:10">
      <c r="A17" s="72" t="s">
        <v>74</v>
      </c>
      <c r="B17" s="85">
        <v>15000</v>
      </c>
      <c r="C17" s="85">
        <f t="shared" si="0"/>
        <v>180000</v>
      </c>
      <c r="D17" s="29">
        <f>B17/B3</f>
        <v>0.60301507537688437</v>
      </c>
      <c r="E17" s="51"/>
      <c r="H17" s="28"/>
      <c r="I17" s="28"/>
      <c r="J17" s="28"/>
    </row>
    <row r="18" spans="1:10">
      <c r="A18" s="72" t="s">
        <v>75</v>
      </c>
      <c r="B18" s="85">
        <v>28000</v>
      </c>
      <c r="C18" s="85">
        <f t="shared" si="0"/>
        <v>336000</v>
      </c>
      <c r="D18" s="29">
        <f>B18/B3</f>
        <v>1.1256281407035176</v>
      </c>
      <c r="E18" s="51"/>
      <c r="H18" s="28"/>
      <c r="I18" s="28"/>
      <c r="J18" s="28"/>
    </row>
    <row r="19" spans="1:10">
      <c r="A19" s="72" t="s">
        <v>76</v>
      </c>
      <c r="B19" s="85">
        <v>17000</v>
      </c>
      <c r="C19" s="85">
        <f t="shared" si="0"/>
        <v>204000</v>
      </c>
      <c r="D19" s="29">
        <f>B19/B7</f>
        <v>3.1064412973960714E-2</v>
      </c>
      <c r="E19" s="51"/>
      <c r="H19" s="28"/>
      <c r="I19" s="28"/>
      <c r="J19" s="28"/>
    </row>
    <row r="20" spans="1:10">
      <c r="A20" s="72" t="s">
        <v>77</v>
      </c>
      <c r="B20" s="85">
        <v>28000</v>
      </c>
      <c r="C20" s="85">
        <f t="shared" si="0"/>
        <v>336000</v>
      </c>
      <c r="D20" s="29">
        <f>B20/B8</f>
        <v>3.7935239127489502</v>
      </c>
      <c r="E20" s="51"/>
      <c r="H20" s="28"/>
      <c r="I20" s="28"/>
      <c r="J20" s="28"/>
    </row>
    <row r="21" spans="1:10">
      <c r="A21" s="72" t="s">
        <v>78</v>
      </c>
      <c r="B21" s="85">
        <v>16000</v>
      </c>
      <c r="C21" s="85">
        <f t="shared" si="0"/>
        <v>192000</v>
      </c>
      <c r="D21" s="29">
        <f>B21/B9</f>
        <v>3.4782608695652173</v>
      </c>
      <c r="E21" s="51"/>
      <c r="H21" s="28"/>
      <c r="I21" s="28"/>
      <c r="J21" s="28"/>
    </row>
    <row r="22" spans="1:10">
      <c r="A22" s="72" t="s">
        <v>79</v>
      </c>
      <c r="B22" s="85">
        <v>16000</v>
      </c>
      <c r="C22" s="85">
        <f t="shared" si="0"/>
        <v>192000</v>
      </c>
      <c r="D22" s="29">
        <f>B22/B10</f>
        <v>2.8610717217035536E-2</v>
      </c>
      <c r="E22" s="51"/>
      <c r="H22" s="28"/>
      <c r="I22" s="28"/>
      <c r="J22" s="28"/>
    </row>
    <row r="23" spans="1:10">
      <c r="A23" s="72" t="s">
        <v>80</v>
      </c>
      <c r="B23" s="85">
        <v>4500</v>
      </c>
      <c r="C23" s="85">
        <f t="shared" si="0"/>
        <v>54000</v>
      </c>
      <c r="D23" s="29">
        <f>B23/B3</f>
        <v>0.18090452261306533</v>
      </c>
      <c r="E23" s="51"/>
      <c r="H23" s="28"/>
      <c r="I23" s="28"/>
      <c r="J23" s="28"/>
    </row>
    <row r="24" spans="1:10">
      <c r="A24" s="72" t="s">
        <v>81</v>
      </c>
      <c r="B24" s="85">
        <v>5000</v>
      </c>
      <c r="C24" s="85">
        <f t="shared" si="0"/>
        <v>60000</v>
      </c>
      <c r="D24" s="29">
        <f>B24/B3</f>
        <v>0.20100502512562815</v>
      </c>
      <c r="E24" s="51"/>
      <c r="H24" s="28"/>
      <c r="I24" s="28"/>
      <c r="J24" s="28"/>
    </row>
    <row r="25" spans="1:10" ht="15">
      <c r="A25" s="72"/>
      <c r="B25" s="87">
        <f>SUM(B15:B24)</f>
        <v>189500</v>
      </c>
      <c r="C25" s="87">
        <f>SUM(C15:C24)</f>
        <v>2274000</v>
      </c>
      <c r="D25" s="29">
        <f>B25/B3</f>
        <v>7.6180904522613062</v>
      </c>
      <c r="E25" s="51"/>
      <c r="H25" s="28"/>
      <c r="I25" s="28"/>
      <c r="J25" s="28"/>
    </row>
    <row r="26" spans="1:10">
      <c r="A26" s="72" t="s">
        <v>102</v>
      </c>
      <c r="B26" s="85">
        <f>B25*0.202</f>
        <v>38279</v>
      </c>
      <c r="C26" s="85">
        <f>C25*0.202</f>
        <v>459348.00000000006</v>
      </c>
      <c r="D26" s="29">
        <f>B26/B3</f>
        <v>1.5388542713567839</v>
      </c>
      <c r="E26" s="51"/>
      <c r="H26" s="28"/>
      <c r="I26" s="28"/>
      <c r="J26" s="28"/>
    </row>
    <row r="27" spans="1:10">
      <c r="A27" s="72" t="s">
        <v>82</v>
      </c>
      <c r="B27" s="85">
        <f>(B25+B26)/12</f>
        <v>18981.583333333332</v>
      </c>
      <c r="C27" s="85">
        <f>(C25+C26)/12</f>
        <v>227779</v>
      </c>
      <c r="D27" s="29">
        <f>B27/B31</f>
        <v>0.94907916666666658</v>
      </c>
      <c r="E27" s="51"/>
      <c r="H27" s="28"/>
      <c r="I27" s="28"/>
      <c r="J27" s="28"/>
    </row>
    <row r="28" spans="1:10" ht="15">
      <c r="A28" s="74" t="s">
        <v>105</v>
      </c>
      <c r="B28" s="88">
        <f>B25+B26+B27</f>
        <v>246760.58333333334</v>
      </c>
      <c r="C28" s="88">
        <f>B28*12</f>
        <v>2961127</v>
      </c>
      <c r="D28" s="95">
        <f>B28/B3</f>
        <v>9.9200234505862657</v>
      </c>
      <c r="E28" s="51"/>
      <c r="H28" s="28"/>
      <c r="I28" s="28"/>
      <c r="J28" s="28"/>
    </row>
    <row r="29" spans="1:10" ht="15">
      <c r="A29" s="99"/>
      <c r="B29" s="100"/>
      <c r="C29" s="101"/>
      <c r="D29" s="98"/>
      <c r="E29" s="67"/>
      <c r="H29" s="28"/>
      <c r="I29" s="28"/>
      <c r="J29" s="28"/>
    </row>
    <row r="30" spans="1:10">
      <c r="A30" s="11" t="s">
        <v>71</v>
      </c>
      <c r="B30" s="75"/>
      <c r="C30" s="83"/>
      <c r="D30" s="47"/>
      <c r="E30" s="51"/>
      <c r="H30" s="28"/>
      <c r="I30" s="28"/>
      <c r="J30" s="28"/>
    </row>
    <row r="31" spans="1:10" ht="28.5">
      <c r="A31" s="106" t="s">
        <v>7</v>
      </c>
      <c r="B31" s="102">
        <v>20000</v>
      </c>
      <c r="C31" s="96">
        <f>B31*12</f>
        <v>240000</v>
      </c>
      <c r="D31" s="107">
        <f>B31/$B$3</f>
        <v>0.8040201005025126</v>
      </c>
      <c r="E31" s="51" t="s">
        <v>89</v>
      </c>
      <c r="H31" s="28"/>
      <c r="I31" s="28"/>
      <c r="J31" s="28"/>
    </row>
    <row r="32" spans="1:10">
      <c r="A32" s="94" t="s">
        <v>50</v>
      </c>
      <c r="B32" s="103">
        <v>29500</v>
      </c>
      <c r="C32" s="96">
        <f t="shared" ref="C32:C51" si="1">B32*12</f>
        <v>354000</v>
      </c>
      <c r="D32" s="107">
        <f>B32/$B$3</f>
        <v>1.1859296482412061</v>
      </c>
      <c r="E32" s="51" t="s">
        <v>91</v>
      </c>
      <c r="H32" s="28"/>
      <c r="I32" s="28"/>
      <c r="J32" s="28"/>
    </row>
    <row r="33" spans="1:10">
      <c r="A33" s="16" t="s">
        <v>17</v>
      </c>
      <c r="B33" s="102">
        <v>44376</v>
      </c>
      <c r="C33" s="96">
        <f t="shared" si="1"/>
        <v>532512</v>
      </c>
      <c r="D33" s="107">
        <f>B33/$B$3</f>
        <v>1.7839597989949749</v>
      </c>
      <c r="E33" s="51" t="s">
        <v>93</v>
      </c>
      <c r="H33" s="28"/>
      <c r="I33" s="28"/>
      <c r="J33" s="28"/>
    </row>
    <row r="34" spans="1:10" ht="28.5">
      <c r="A34" s="16" t="s">
        <v>11</v>
      </c>
      <c r="B34" s="102">
        <v>2100</v>
      </c>
      <c r="C34" s="96">
        <f t="shared" si="1"/>
        <v>25200</v>
      </c>
      <c r="D34" s="107">
        <f>B34/$B$3</f>
        <v>8.4422110552763815E-2</v>
      </c>
      <c r="E34" s="51" t="s">
        <v>8</v>
      </c>
      <c r="H34" s="28"/>
      <c r="I34" s="28"/>
      <c r="J34" s="28"/>
    </row>
    <row r="35" spans="1:10">
      <c r="A35" s="16" t="s">
        <v>12</v>
      </c>
      <c r="B35" s="102">
        <v>500</v>
      </c>
      <c r="C35" s="96">
        <f t="shared" si="1"/>
        <v>6000</v>
      </c>
      <c r="D35" s="107">
        <f>B35/$B$3</f>
        <v>2.0100502512562814E-2</v>
      </c>
      <c r="E35" s="51" t="s">
        <v>8</v>
      </c>
      <c r="H35" s="28"/>
      <c r="I35" s="28"/>
      <c r="J35" s="28"/>
    </row>
    <row r="36" spans="1:10">
      <c r="A36" s="16" t="s">
        <v>87</v>
      </c>
      <c r="B36" s="102">
        <v>35000</v>
      </c>
      <c r="C36" s="96">
        <f t="shared" si="1"/>
        <v>420000</v>
      </c>
      <c r="D36" s="107">
        <f t="shared" ref="D36:D37" si="2">B36/$B$3</f>
        <v>1.4070351758793971</v>
      </c>
      <c r="E36" s="51" t="s">
        <v>92</v>
      </c>
      <c r="H36" s="28"/>
      <c r="I36" s="28"/>
      <c r="J36" s="28"/>
    </row>
    <row r="37" spans="1:10" ht="14.25" customHeight="1">
      <c r="A37" s="16" t="s">
        <v>88</v>
      </c>
      <c r="B37" s="102">
        <v>4500</v>
      </c>
      <c r="C37" s="96">
        <f t="shared" si="1"/>
        <v>54000</v>
      </c>
      <c r="D37" s="107">
        <f t="shared" si="2"/>
        <v>0.18090452261306533</v>
      </c>
      <c r="E37" s="51" t="s">
        <v>92</v>
      </c>
      <c r="H37" s="28"/>
      <c r="I37" s="36"/>
      <c r="J37" s="28"/>
    </row>
    <row r="38" spans="1:10">
      <c r="A38" s="94" t="s">
        <v>94</v>
      </c>
      <c r="B38" s="103">
        <v>4500</v>
      </c>
      <c r="C38" s="96">
        <f t="shared" si="1"/>
        <v>54000</v>
      </c>
      <c r="D38" s="107">
        <f t="shared" ref="D38:D48" si="3">B38/$B$3</f>
        <v>0.18090452261306533</v>
      </c>
      <c r="E38" s="51"/>
      <c r="H38" s="28"/>
      <c r="I38" s="36"/>
      <c r="J38" s="28"/>
    </row>
    <row r="39" spans="1:10" ht="28.5">
      <c r="A39" s="94" t="s">
        <v>99</v>
      </c>
      <c r="B39" s="103">
        <v>21000</v>
      </c>
      <c r="C39" s="96">
        <f t="shared" si="1"/>
        <v>252000</v>
      </c>
      <c r="D39" s="107">
        <f t="shared" si="3"/>
        <v>0.84422110552763818</v>
      </c>
      <c r="E39" s="51"/>
      <c r="H39" s="28"/>
      <c r="I39" s="36"/>
      <c r="J39" s="28"/>
    </row>
    <row r="40" spans="1:10" ht="28.5">
      <c r="A40" s="16" t="s">
        <v>37</v>
      </c>
      <c r="B40" s="102">
        <v>4000</v>
      </c>
      <c r="C40" s="96">
        <f t="shared" si="1"/>
        <v>48000</v>
      </c>
      <c r="D40" s="107">
        <f t="shared" si="3"/>
        <v>0.16080402010050251</v>
      </c>
      <c r="E40" s="51"/>
      <c r="H40" s="28"/>
      <c r="I40" s="36"/>
      <c r="J40" s="28"/>
    </row>
    <row r="41" spans="1:10">
      <c r="A41" s="16" t="s">
        <v>44</v>
      </c>
      <c r="B41" s="102">
        <v>1200</v>
      </c>
      <c r="C41" s="96">
        <f t="shared" si="1"/>
        <v>14400</v>
      </c>
      <c r="D41" s="107">
        <f t="shared" si="3"/>
        <v>4.8241206030150752E-2</v>
      </c>
      <c r="E41" s="51"/>
      <c r="H41" s="28"/>
      <c r="I41" s="36"/>
      <c r="J41" s="28"/>
    </row>
    <row r="42" spans="1:10">
      <c r="A42" s="16" t="s">
        <v>97</v>
      </c>
      <c r="B42" s="102">
        <v>2250</v>
      </c>
      <c r="C42" s="96">
        <f t="shared" si="1"/>
        <v>27000</v>
      </c>
      <c r="D42" s="107">
        <f t="shared" si="3"/>
        <v>9.0452261306532666E-2</v>
      </c>
      <c r="E42" s="51" t="s">
        <v>33</v>
      </c>
      <c r="H42" s="28"/>
      <c r="I42" s="36"/>
      <c r="J42" s="28"/>
    </row>
    <row r="43" spans="1:10" ht="28.5">
      <c r="A43" s="94" t="s">
        <v>51</v>
      </c>
      <c r="B43" s="103">
        <v>1000</v>
      </c>
      <c r="C43" s="96">
        <f t="shared" si="1"/>
        <v>12000</v>
      </c>
      <c r="D43" s="107">
        <f t="shared" si="3"/>
        <v>4.0201005025125629E-2</v>
      </c>
      <c r="E43" s="51" t="s">
        <v>8</v>
      </c>
      <c r="H43" s="28"/>
      <c r="I43" s="36"/>
      <c r="J43" s="28"/>
    </row>
    <row r="44" spans="1:10" ht="28.5">
      <c r="A44" s="37" t="s">
        <v>109</v>
      </c>
      <c r="B44" s="85">
        <v>3500</v>
      </c>
      <c r="C44" s="96">
        <f t="shared" si="1"/>
        <v>42000</v>
      </c>
      <c r="D44" s="107">
        <f>B44/$B$3</f>
        <v>0.1407035175879397</v>
      </c>
      <c r="E44" s="1"/>
      <c r="H44" s="28"/>
      <c r="I44" s="36"/>
      <c r="J44" s="28"/>
    </row>
    <row r="45" spans="1:10">
      <c r="A45" s="37" t="s">
        <v>100</v>
      </c>
      <c r="B45" s="85">
        <v>700</v>
      </c>
      <c r="C45" s="96">
        <f t="shared" si="1"/>
        <v>8400</v>
      </c>
      <c r="D45" s="107">
        <f>B45/$B$3</f>
        <v>2.8140703517587941E-2</v>
      </c>
      <c r="E45" s="51" t="s">
        <v>8</v>
      </c>
      <c r="H45" s="28"/>
      <c r="I45" s="36"/>
      <c r="J45" s="28"/>
    </row>
    <row r="46" spans="1:10">
      <c r="A46" s="16" t="s">
        <v>108</v>
      </c>
      <c r="B46" s="102">
        <v>2500</v>
      </c>
      <c r="C46" s="96">
        <f t="shared" si="1"/>
        <v>30000</v>
      </c>
      <c r="D46" s="107">
        <f t="shared" si="3"/>
        <v>0.10050251256281408</v>
      </c>
      <c r="E46" s="51"/>
      <c r="H46" s="28"/>
      <c r="I46" s="36"/>
      <c r="J46" s="28"/>
    </row>
    <row r="47" spans="1:10">
      <c r="A47" s="94" t="s">
        <v>95</v>
      </c>
      <c r="B47" s="103">
        <v>2000</v>
      </c>
      <c r="C47" s="96">
        <f t="shared" si="1"/>
        <v>24000</v>
      </c>
      <c r="D47" s="108">
        <f t="shared" si="3"/>
        <v>8.0402010050251257E-2</v>
      </c>
      <c r="E47" s="51"/>
      <c r="H47" s="28"/>
      <c r="I47" s="36"/>
      <c r="J47" s="28"/>
    </row>
    <row r="48" spans="1:10">
      <c r="A48" s="16" t="s">
        <v>5</v>
      </c>
      <c r="B48" s="102">
        <v>2500</v>
      </c>
      <c r="C48" s="96">
        <f t="shared" si="1"/>
        <v>30000</v>
      </c>
      <c r="D48" s="107">
        <f t="shared" si="3"/>
        <v>0.10050251256281408</v>
      </c>
      <c r="E48" s="51"/>
      <c r="H48" s="28"/>
      <c r="I48" s="28"/>
      <c r="J48" s="28"/>
    </row>
    <row r="49" spans="1:10" ht="14.25" customHeight="1">
      <c r="A49" s="16" t="s">
        <v>101</v>
      </c>
      <c r="B49" s="102">
        <v>2000</v>
      </c>
      <c r="C49" s="96">
        <f t="shared" si="1"/>
        <v>24000</v>
      </c>
      <c r="D49" s="107">
        <f t="shared" ref="D49:D66" si="4">B49/$B$3</f>
        <v>8.0402010050251257E-2</v>
      </c>
      <c r="E49" s="51"/>
      <c r="H49" s="28"/>
      <c r="I49" s="36"/>
      <c r="J49" s="28"/>
    </row>
    <row r="50" spans="1:10" ht="28.5">
      <c r="A50" s="16" t="s">
        <v>114</v>
      </c>
      <c r="B50" s="102">
        <v>12935</v>
      </c>
      <c r="C50" s="96">
        <f t="shared" si="1"/>
        <v>155220</v>
      </c>
      <c r="D50" s="107">
        <f>B50/$B$3</f>
        <v>0.52</v>
      </c>
      <c r="E50" s="51" t="s">
        <v>98</v>
      </c>
    </row>
    <row r="51" spans="1:10" ht="15">
      <c r="A51" s="74" t="s">
        <v>107</v>
      </c>
      <c r="B51" s="104">
        <f>SUM(B31:B50)</f>
        <v>196061</v>
      </c>
      <c r="C51" s="89">
        <f t="shared" si="1"/>
        <v>2352732</v>
      </c>
      <c r="D51" s="105">
        <f>SUM(D31:D50)</f>
        <v>7.8818492462311589</v>
      </c>
      <c r="E51" s="51"/>
      <c r="H51" s="28"/>
      <c r="I51" s="36"/>
      <c r="J51" s="28"/>
    </row>
    <row r="52" spans="1:10">
      <c r="A52" s="72"/>
      <c r="B52" s="85"/>
      <c r="C52" s="85"/>
      <c r="D52" s="73"/>
      <c r="E52" s="51"/>
    </row>
    <row r="53" spans="1:10" ht="30">
      <c r="A53" s="5" t="s">
        <v>106</v>
      </c>
      <c r="B53" s="77">
        <f>B28+B51</f>
        <v>442821.58333333337</v>
      </c>
      <c r="C53" s="89">
        <f>C51+C28</f>
        <v>5313859</v>
      </c>
      <c r="D53" s="43">
        <f>D51+D28</f>
        <v>17.801872696817426</v>
      </c>
      <c r="E53" s="51"/>
    </row>
    <row r="54" spans="1:10" ht="15">
      <c r="A54" s="3"/>
      <c r="B54" s="79"/>
      <c r="C54" s="90"/>
      <c r="D54" s="48"/>
      <c r="E54" s="51"/>
    </row>
    <row r="55" spans="1:10" ht="15">
      <c r="A55" s="3" t="s">
        <v>14</v>
      </c>
      <c r="B55" s="79"/>
      <c r="C55" s="90"/>
      <c r="D55" s="48"/>
      <c r="E55" s="51"/>
    </row>
    <row r="56" spans="1:10">
      <c r="A56" s="16" t="s">
        <v>26</v>
      </c>
      <c r="B56" s="75">
        <v>7000</v>
      </c>
      <c r="C56" s="83">
        <f t="shared" ref="C56:C65" si="5">B56*12</f>
        <v>84000</v>
      </c>
      <c r="D56" s="48">
        <f t="shared" si="4"/>
        <v>0.28140703517587939</v>
      </c>
      <c r="E56" s="51"/>
    </row>
    <row r="57" spans="1:10">
      <c r="A57" s="16" t="s">
        <v>115</v>
      </c>
      <c r="B57" s="75">
        <v>19000</v>
      </c>
      <c r="C57" s="83">
        <f>B57*12</f>
        <v>228000</v>
      </c>
      <c r="D57" s="48">
        <f t="shared" si="4"/>
        <v>0.76381909547738691</v>
      </c>
      <c r="E57" s="51"/>
    </row>
    <row r="58" spans="1:10">
      <c r="A58" s="37" t="s">
        <v>103</v>
      </c>
      <c r="B58" s="75">
        <v>50000</v>
      </c>
      <c r="C58" s="91">
        <f t="shared" si="5"/>
        <v>600000</v>
      </c>
      <c r="D58" s="48">
        <f>B58/$B$3</f>
        <v>2.0100502512562812</v>
      </c>
      <c r="E58" s="51"/>
    </row>
    <row r="59" spans="1:10">
      <c r="A59" s="16" t="s">
        <v>84</v>
      </c>
      <c r="B59" s="75">
        <v>9000</v>
      </c>
      <c r="C59" s="83">
        <f t="shared" si="5"/>
        <v>108000</v>
      </c>
      <c r="D59" s="48">
        <f t="shared" si="4"/>
        <v>0.36180904522613067</v>
      </c>
      <c r="E59" s="51"/>
    </row>
    <row r="60" spans="1:10">
      <c r="A60" s="37" t="s">
        <v>112</v>
      </c>
      <c r="B60" s="75">
        <v>1200</v>
      </c>
      <c r="C60" s="83">
        <f t="shared" si="5"/>
        <v>14400</v>
      </c>
      <c r="D60" s="48">
        <f t="shared" si="4"/>
        <v>4.8241206030150752E-2</v>
      </c>
      <c r="E60" s="51"/>
    </row>
    <row r="61" spans="1:10">
      <c r="A61" s="37" t="s">
        <v>85</v>
      </c>
      <c r="B61" s="75">
        <v>18228.419999999998</v>
      </c>
      <c r="C61" s="83">
        <f>(B61*12)-0.04</f>
        <v>218740.99999999997</v>
      </c>
      <c r="D61" s="48">
        <f>B61/$B$3</f>
        <v>0.73280080402010039</v>
      </c>
      <c r="E61" s="51"/>
    </row>
    <row r="62" spans="1:10">
      <c r="A62" s="37" t="s">
        <v>86</v>
      </c>
      <c r="B62" s="75">
        <v>0</v>
      </c>
      <c r="C62" s="91">
        <f t="shared" si="5"/>
        <v>0</v>
      </c>
      <c r="D62" s="48">
        <f t="shared" si="4"/>
        <v>0</v>
      </c>
      <c r="E62" s="51"/>
    </row>
    <row r="63" spans="1:10">
      <c r="A63" s="37" t="s">
        <v>113</v>
      </c>
      <c r="B63" s="75">
        <v>0</v>
      </c>
      <c r="C63" s="91">
        <f t="shared" si="5"/>
        <v>0</v>
      </c>
      <c r="D63" s="48">
        <f t="shared" si="4"/>
        <v>0</v>
      </c>
      <c r="E63" s="51"/>
    </row>
    <row r="64" spans="1:10">
      <c r="A64" s="37" t="s">
        <v>111</v>
      </c>
      <c r="B64" s="75">
        <v>0</v>
      </c>
      <c r="C64" s="91">
        <f t="shared" si="5"/>
        <v>0</v>
      </c>
      <c r="D64" s="48">
        <f t="shared" si="4"/>
        <v>0</v>
      </c>
      <c r="E64" s="51"/>
    </row>
    <row r="65" spans="1:10">
      <c r="A65" s="37" t="s">
        <v>110</v>
      </c>
      <c r="B65" s="75">
        <v>0</v>
      </c>
      <c r="C65" s="91">
        <f t="shared" si="5"/>
        <v>0</v>
      </c>
      <c r="D65" s="48">
        <f t="shared" si="4"/>
        <v>0</v>
      </c>
      <c r="E65" s="51"/>
    </row>
    <row r="66" spans="1:10" ht="15">
      <c r="A66" s="5" t="s">
        <v>56</v>
      </c>
      <c r="B66" s="77">
        <f>SUM(B56:B65)</f>
        <v>104428.42</v>
      </c>
      <c r="C66" s="89">
        <f>SUM(C56:C65)</f>
        <v>1253141</v>
      </c>
      <c r="D66" s="43">
        <f t="shared" si="4"/>
        <v>4.1981274371859296</v>
      </c>
      <c r="E66" s="51"/>
      <c r="F66" s="61"/>
      <c r="G66" s="2"/>
    </row>
    <row r="67" spans="1:10" s="25" customFormat="1" ht="15">
      <c r="A67" s="3"/>
      <c r="B67" s="79"/>
      <c r="C67" s="90"/>
      <c r="D67" s="42"/>
      <c r="E67" s="66"/>
      <c r="F67" s="24"/>
    </row>
    <row r="68" spans="1:10" ht="15">
      <c r="A68" s="60" t="s">
        <v>57</v>
      </c>
      <c r="B68" s="75"/>
      <c r="C68" s="76"/>
      <c r="D68" s="45"/>
      <c r="E68" s="51"/>
    </row>
    <row r="69" spans="1:10" ht="14.45" customHeight="1">
      <c r="A69" s="23" t="s">
        <v>25</v>
      </c>
      <c r="B69" s="118" t="s">
        <v>83</v>
      </c>
      <c r="C69" s="118" t="s">
        <v>83</v>
      </c>
      <c r="D69" s="113" t="s">
        <v>83</v>
      </c>
      <c r="E69" s="51"/>
    </row>
    <row r="70" spans="1:10" ht="14.45" customHeight="1">
      <c r="A70" s="23" t="s">
        <v>47</v>
      </c>
      <c r="B70" s="119"/>
      <c r="C70" s="119"/>
      <c r="D70" s="114"/>
      <c r="E70" s="51"/>
    </row>
    <row r="71" spans="1:10">
      <c r="A71" s="23" t="s">
        <v>116</v>
      </c>
      <c r="B71" s="119"/>
      <c r="C71" s="119"/>
      <c r="D71" s="114"/>
      <c r="E71" s="51"/>
    </row>
    <row r="72" spans="1:10" ht="15">
      <c r="A72" s="31"/>
      <c r="B72" s="92"/>
      <c r="C72" s="93"/>
      <c r="D72" s="30"/>
    </row>
    <row r="73" spans="1:10" s="20" customFormat="1" ht="15">
      <c r="A73" s="63" t="s">
        <v>65</v>
      </c>
      <c r="B73" s="87">
        <f>B53+B66</f>
        <v>547250.00333333341</v>
      </c>
      <c r="C73" s="87">
        <f>C53+C66</f>
        <v>6567000</v>
      </c>
      <c r="D73" s="64">
        <f>D53+D66</f>
        <v>22.000000134003358</v>
      </c>
      <c r="E73" s="51"/>
      <c r="G73" s="1"/>
      <c r="H73" s="1"/>
      <c r="I73" s="1"/>
      <c r="J73" s="1"/>
    </row>
    <row r="74" spans="1:10" s="20" customFormat="1">
      <c r="A74" s="33"/>
      <c r="B74" s="34"/>
      <c r="C74" s="34"/>
      <c r="D74" s="34"/>
      <c r="E74" s="69"/>
      <c r="G74" s="1"/>
      <c r="H74" s="1"/>
      <c r="I74" s="1"/>
      <c r="J74" s="1"/>
    </row>
    <row r="75" spans="1:10" s="20" customFormat="1">
      <c r="A75" s="16" t="s">
        <v>96</v>
      </c>
      <c r="B75" s="75">
        <f>B8+B9</f>
        <v>11981</v>
      </c>
      <c r="C75" s="84">
        <f>C8+C9</f>
        <v>131791</v>
      </c>
      <c r="D75" s="48">
        <f>B75/$B$3</f>
        <v>0.48164824120603017</v>
      </c>
      <c r="E75" s="51"/>
      <c r="G75" s="1"/>
      <c r="H75" s="1"/>
      <c r="I75" s="1"/>
      <c r="J75" s="1"/>
    </row>
  </sheetData>
  <mergeCells count="4">
    <mergeCell ref="A1:C1"/>
    <mergeCell ref="B69:B71"/>
    <mergeCell ref="C69:C71"/>
    <mergeCell ref="D69:D71"/>
  </mergeCells>
  <pageMargins left="0.70866141732283472" right="0.70866141732283472" top="0.74803149606299213" bottom="0.74803149606299213" header="0.31496062992125984" footer="0.31496062992125984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смета с апреля по август</vt:lpstr>
      <vt:lpstr>пример на 2018</vt:lpstr>
    </vt:vector>
  </TitlesOfParts>
  <Company>Computer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TSGinfo</cp:lastModifiedBy>
  <cp:lastPrinted>2017-07-17T05:22:34Z</cp:lastPrinted>
  <dcterms:created xsi:type="dcterms:W3CDTF">2013-04-12T08:56:29Z</dcterms:created>
  <dcterms:modified xsi:type="dcterms:W3CDTF">2018-04-10T18:04:36Z</dcterms:modified>
</cp:coreProperties>
</file>